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ditions d'utilisation" sheetId="1" state="visible" r:id="rId3"/>
    <sheet name="Tableau de bord" sheetId="2" state="visible" r:id="rId4"/>
    <sheet name="Notice" sheetId="3" state="visible" r:id="rId5"/>
    <sheet name="Amort. unités d'oeuvre"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<sst xmlns="http://schemas.openxmlformats.org/spreadsheetml/2006/main" count="181" uniqueCount="176">
  <si>
    <t xml:space="preserve">CONDITIONS D'UTILISATION — À LIRE AVANT TOUTE UTILISATION</t>
  </si>
  <si>
    <t xml:space="preserve">NATURE DE L'OUTIL</t>
  </si>
  <si>
    <t xml:space="preserve">Ce classeur est un outil d'aide au calcul et au suivi, fourni « en l'état », sans garantie d'aucune sorte, explicite ou implicite. Il ne constitue ni un conseil comptable, ni un conseil fiscal, ni un conseil juridique, et ne remplace pas l'intervention d'un expert-comptable, d'un commissaire aux comptes ou d'un conseil fiscal habilité.</t>
  </si>
  <si>
    <t xml:space="preserve">RESPONSABILITÉ DE L'UTILISATEUR</t>
  </si>
  <si>
    <t xml:space="preserve">L'utilisateur est seul responsable :
• de la vérification de l'exactitude, de la pertinence et de la conformité des calculs, taux et unités d'œuvre utilisés dans ce classeur au regard de sa situation particulière et de la réglementation comptable et fiscale en vigueur à la date d'utilisation ;
• du contrôle des résultats obtenus avant toute utilisation dans ses comptes, ses déclarations fiscales ou tout document destiné à un tiers ou à une administration ;
• de la vérification de l'éligibilité de son bien à tout dispositif de suramortissement avant d'en appliquer le taux (voir l'onglet Notice).</t>
  </si>
  <si>
    <t xml:space="preserve">LIMITATION DE RESPONSABILITÉ</t>
  </si>
  <si>
    <t xml:space="preserve">L'auteur et le vendeur de ce classeur déclinent toute responsabilité en cas d'erreur, d'omission, d'inexactitude, de perte de données, de redressement fiscal, de sanction, ou de tout dommage direct ou indirect résultant de l'utilisation, de la mauvaise utilisation, ou de l'impossibilité d'utiliser cet outil, y compris en cas de modification des cellules protégées ou de contournement de la protection du classeur.</t>
  </si>
  <si>
    <t xml:space="preserve">RECOMMANDATION</t>
  </si>
  <si>
    <t xml:space="preserve">Il est fortement recommandé de faire valider les résultats produits par ce classeur par un expert-comptable ou un conseil fiscal avant toute utilisation professionnelle, notamment en cas de sortie ou cession du bien, ou de suramortissement fiscal.</t>
  </si>
  <si>
    <t xml:space="preserve">DONNÉES ET CONFIDENTIALITÉ</t>
  </si>
  <si>
    <t xml:space="preserve">Ce classeur fonctionne entièrement en local : aucune donnée saisie n'est transmise, collectée ou partagée avec un tiers. L'utilisateur reste seul responsable de la conservation et de la sécurité de ses données.</t>
  </si>
  <si>
    <t xml:space="preserve">LICENCE D'UTILISATION</t>
  </si>
  <si>
    <t xml:space="preserve">• Ce fichier reste la propriété de l'auteur. L'achat confère une licence d'usage personnelle et non exclusive, pour votre propre comptabilité (ou celle de vos clients si vous êtes cabinet comptable) — il n'y a pas de transfert de propriété ni de cession des droits d'auteur sur le fichier.
• Revente, redistribution, republication ou partage de ce fichier (modifié ou non) strictement interdits, y compris à titre gratuit, sans autorisation écrite de l'auteur.
• Les feuilles sont protégées pour éviter la casse accidentelle des formules ; seules les cellules à remplir restent modifiables. Aucun mot de passe n'est nécessaire pour utiliser le fichier normalement.</t>
  </si>
  <si>
    <t xml:space="preserve">En utilisant ce classeur, l'utilisateur reconnaît avoir pris connaissance des présentes conditions et les accepter.</t>
  </si>
  <si>
    <t xml:space="preserve">VERSION DÉMONSTRATION</t>
  </si>
  <si>
    <t xml:space="preserve">Cette version est une démonstration à usage d'évaluation. Elle est pleinement fonctionnelle mais son Tableau de bord se désactive automatiquement après la période d'essai définie ci-dessous, calculée à partir de la date de première utilisation que vous indiquez.</t>
  </si>
  <si>
    <t xml:space="preserve">Date de première utilisation (à saisir par le destinataire) :</t>
  </si>
  <si>
    <t xml:space="preserve">Durée d'essai (jours) :</t>
  </si>
  <si>
    <t xml:space="preserve">Statut de la démo :</t>
  </si>
  <si>
    <t xml:space="preserve">TABLEAU DE BORD — Amortissement par unités d'œuvre</t>
  </si>
  <si>
    <t xml:space="preserve">Société / Dossier :</t>
  </si>
  <si>
    <t xml:space="preserve">Synthèse automatique — mode d'amortissement : Unités d'œuvre, avec sortie/cession et suramortissement</t>
  </si>
  <si>
    <t xml:space="preserve">N° de compte comptable :</t>
  </si>
  <si>
    <t xml:space="preserve">Alerte exercice :</t>
  </si>
  <si>
    <t xml:space="preserve">INDICATEURS CLÉS</t>
  </si>
  <si>
    <t xml:space="preserve">État de la démo :</t>
  </si>
  <si>
    <t xml:space="preserve">Valeur d'origine</t>
  </si>
  <si>
    <t xml:space="preserve">Base amortissable</t>
  </si>
  <si>
    <t xml:space="preserve">Amortissement cumulé</t>
  </si>
  <si>
    <t xml:space="preserve">VNC actuelle</t>
  </si>
  <si>
    <t xml:space="preserve">Taux / U.O. totales</t>
  </si>
  <si>
    <t xml:space="preserve">Statut</t>
  </si>
  <si>
    <t xml:space="preserve">Total unités saisies</t>
  </si>
  <si>
    <t xml:space="preserve">Total unités prévisionnel</t>
  </si>
  <si>
    <t xml:space="preserve">SORTIE / CESSION</t>
  </si>
  <si>
    <t xml:space="preserve">Date de sortie</t>
  </si>
  <si>
    <t xml:space="preserve">Prix de cession</t>
  </si>
  <si>
    <t xml:space="preserve">VNC à la sortie</t>
  </si>
  <si>
    <t xml:space="preserve">Plus/moins-value de cession</t>
  </si>
  <si>
    <t xml:space="preserve">SURAMORTISSEMENT FISCAL</t>
  </si>
  <si>
    <t xml:space="preserve">Durée normale (années)</t>
  </si>
  <si>
    <t xml:space="preserve">Taux de suramortissement</t>
  </si>
  <si>
    <t xml:space="preserve">Suramortissement cumulé</t>
  </si>
  <si>
    <t xml:space="preserve">Écart cumulé (comptable − suramort.)</t>
  </si>
  <si>
    <t xml:space="preserve">ALERTE AUTOMATIQUE</t>
  </si>
  <si>
    <t xml:space="preserve">Alertes vérifiées : total d'unités d'œuvre prévu invalide · valeur résiduelle &gt; valeur d'origine · date de sortie antérieure à la mise en service · sortie sans prix de cession · écart entre unités saisies et total prévisionnel · amortissement totalement terminé (VNC = 0).</t>
  </si>
  <si>
    <t xml:space="preserve">ÉVOLUTION DE LA VNC</t>
  </si>
  <si>
    <t xml:space="preserve">DOTATIONS ANNUELLES</t>
  </si>
  <si>
    <t xml:space="preserve">DÉTAIL DES VÉRIFICATIONS</t>
  </si>
  <si>
    <t xml:space="preserve">Total d'unités d'œuvre prévu valide (&gt; 0)</t>
  </si>
  <si>
    <t xml:space="preserve">Valeur résiduelle ≤ valeur d'origine</t>
  </si>
  <si>
    <t xml:space="preserve">Date de sortie cohérente (si renseignée)</t>
  </si>
  <si>
    <t xml:space="preserve">Prix de cession renseigné (si sortie déclarée)</t>
  </si>
  <si>
    <t xml:space="preserve">Unités saisies = total prévisionnel</t>
  </si>
  <si>
    <t xml:space="preserve">Amortissement totalement terminé (VNC = 0)</t>
  </si>
  <si>
    <t xml:space="preserve">Contrôle : total des annuités = base amortissable</t>
  </si>
  <si>
    <t xml:space="preserve">Devient totalement amortie à l'exercice de référence</t>
  </si>
  <si>
    <t xml:space="preserve">Sortie enregistrée à l'exercice de référence</t>
  </si>
  <si>
    <t xml:space="preserve">NOTICE D'UTILISATION — Amortissement par unités d'œuvre</t>
  </si>
  <si>
    <t xml:space="preserve">OBJET DU CLASSEUR</t>
  </si>
  <si>
    <t xml:space="preserve">Ce classeur calcule le plan d'amortissement d'une immobilisation selon le mode PAR UNITÉS D'ŒUVRE (unités de production), adapté aux biens dont l'usure dépend du niveau d'activité réel (heures machine, kilomètres, pièces produites, etc.) plutôt que du seul écoulement du temps.</t>
  </si>
  <si>
    <t xml:space="preserve">MÉTHODE DE CALCUL</t>
  </si>
  <si>
    <t xml:space="preserve">• Valeur d'entrée = somme des éléments du coût d'acquisition HT (section 1).</t>
  </si>
  <si>
    <t xml:space="preserve">• Base amortissable = Valeur d'entrée − Valeur résiduelle.</t>
  </si>
  <si>
    <t xml:space="preserve">• Taux par unité d'œuvre = Base amortissable / Durée d'utilisation en unités d'œuvre (total prévisionnel sur toute la durée de vie du bien).</t>
  </si>
  <si>
    <t xml:space="preserve">• Annuité de l'exercice = Nombre d'unités d'œuvre consommées dans l'exercice × Taux par unité d'œuvre, plafonnée à la VNC restante pour éviter tout dépassement lié aux arrondis.</t>
  </si>
  <si>
    <t xml:space="preserve">• Le plan s'arrête automatiquement dès que la VNC atteint 0.</t>
  </si>
  <si>
    <t xml:space="preserve">MODE D'EMPLOI</t>
  </si>
  <si>
    <t xml:space="preserve">• Renseigner le détail du coût d'acquisition (section 1).</t>
  </si>
  <si>
    <t xml:space="preserve">• Renseigner la durée d'utilisation totale prévisionnelle en unités d'œuvre (cellule E7, section 2) : c'est le total sur lequel repose le taux par unité.</t>
  </si>
  <si>
    <t xml:space="preserve">• Dans le tableau (section 3), saisir pour chaque exercice le nombre d'unités d'œuvre effectivement consommées (colonne "Unités d'œuvre de l'exercice", en jaune) : le reste de la ligne se calcule seul.</t>
  </si>
  <si>
    <t xml:space="preserve">• Comparer la cellule E9 (total des unités saisies) à la cellule E7 (total prévisionnel) : si elles diffèrent, le total des annuités ne retombera pas exactement sur la base amortissable — ajustez l'une ou l'autre.</t>
  </si>
  <si>
    <t xml:space="preserve">LÉGENDE DES COULEURS</t>
  </si>
  <si>
    <t xml:space="preserve">  Cellule à fond jaune / texte bleu = donnée à saisir par l'utilisateur</t>
  </si>
  <si>
    <t xml:space="preserve">  Texte noir = calcul automatique (formule) — ne pas modifier, sous peine de casser le calcul</t>
  </si>
  <si>
    <t xml:space="preserve">HYPOTHÈSES ET CONVENTIONS RETENUES</t>
  </si>
  <si>
    <t xml:space="preserve">• Le taux par unité d'œuvre est calculé une fois pour toute la durée du plan, à partir du total prévisionnel saisi en E7 (il n'est pas recalculé automatiquement en cours de plan).</t>
  </si>
  <si>
    <t xml:space="preserve">• En cas de révision en cours de vie du bien (changement de l'estimation totale des unités d'œuvre restantes), il est nécessaire de recalculer manuellement un nouveau taux pour les exercices restants.</t>
  </si>
  <si>
    <t xml:space="preserve">• Le tableau prévoit 20 exercices ; au-delà, ajouter des lignes selon le même modèle de formules.</t>
  </si>
  <si>
    <t xml:space="preserve">AVERTISSEMENT</t>
  </si>
  <si>
    <t xml:space="preserve">Cet outil est fourni à titre d'aide au calcul et ne remplace pas l'avis d'un expert-comptable. Vérifiez toujours les montants obtenus et les règles comptables/fiscales en vigueur applicables à votre situation avant toute utilisation dans vos comptes.</t>
  </si>
  <si>
    <t xml:space="preserve">MISES À JOUR — SORTIE / CESSION ET SURAMORTISSEMENT</t>
  </si>
  <si>
    <t xml:space="preserve">• En cas de sortie du bien avant la fin de son amortissement, renseignez la « Date de sortie » et le « Prix de cession » (feuille de calcul, cellules E10 et E11) : aucune dotation n'est alors calculée pour l'exercice de la sortie ni les suivants. La plus ou moins-value de cession se calcule automatiquement.</t>
  </si>
  <si>
    <t xml:space="preserve">• Le suramortissement fiscal (déduction exceptionnelle) suit ici son propre calendrier annuel, distinct du rythme des unités d'œuvre : renseignez une « Durée normale d'utilisation (années) » et un « Taux de suramortissement » (cellules I4 et I8). Le suramortissement continue de se dérouler sur cette durée même si la production s'arrête plus tôt (l'amortissement comptable, lui, reste piloté par les unités d'œuvre saisies). La dernière annuité de suramortissement est ajustée pour que le cumul atteigne exactement Base × Taux de suramortissement.</t>
  </si>
  <si>
    <t xml:space="preserve">• Vérifiez systématiquement l'éligibilité de votre bien, le taux applicable et la durée du dispositif auprès de votre expert-comptable : ce classeur ne vérifie pas l'éligibilité et ne couvre qu'un calcul linéaire standard pour le suramortissement.</t>
  </si>
  <si>
    <t xml:space="preserve">ALERTE DE BASCULE D'EXERCICE</t>
  </si>
  <si>
    <t xml:space="preserve">• La cellule M7 de l'onglet « Amort. unités d'oeuvre » (« Dernier exercice validé ») est à renseigner manuellement, après avoir contrôlé les résultats d'un exercice.
• Tant que l'exercice de référence (cellule M6) ne change pas, le message reste 🟢 « Exercice de référence inchangé ».
• Dès que vous modifiez l'exercice de référence (M6) pour clôturer un nouvel exercice, un message 🟠 « Bascule d'exercice détectée » apparaît en K9 (et repris sur le Tableau de bord) tant que vous n'avez pas remis à jour la cellule M7 avec le nouvel exercice contrôlé.
• Cette alerte est un simple aide-mémoire (le classeur ne conserve pas d'historique) : elle ne réapparaîtra qu'au prochain changement de M6.</t>
  </si>
  <si>
    <t xml:space="preserve">ALERTES DE BASCULE D'ÉTAT</t>
  </si>
  <si>
    <t xml:space="preserve">• Une fois l'exercice de référence renseigné (cellule M6), le Tableau de bord signale automatiquement, dans le détail des vérifications (lignes 71 et 72) :
  – le passage à un amortissement totalement terminé (VNC = 0) s'il intervient précisément à cet exercice ;
  – une sortie/cession si sa date tombe dans l'exercice de référence.
• Ces alertes remontent aussi dans l'alerte principale (« ALERTE AUTOMATIQUE ») si aucune anomalie plus prioritaire n'est déjà signalée.</t>
  </si>
  <si>
    <t xml:space="preserve">N° DE COMPTE COMPTABLE</t>
  </si>
  <si>
    <t xml:space="preserve">• L'onglet « Amort. unités d'oeuvre » comporte un champ « N° de compte comptable » (cellule M4, libre, à saisir).
• Il permet d'indiquer le compte du plan comptable auquel se rattache le bien, afin de faciliter le rapprochement avec votre logiciel de comptabilité ou celui de vos clients.
• Ce champ est informatif : il n'intervient dans aucun calcul du classeur.</t>
  </si>
  <si>
    <t xml:space="preserve">SUIVI DE PLUSIEURS BIENS / SOCIÉTÉS</t>
  </si>
  <si>
    <t xml:space="preserve">• Ce classeur est conçu pour le suivi d'un seul bien. Pour suivre plusieurs biens, sociétés ou dossiers clients dans le même fichier, dupliquez le jeu d'onglets « de travail » pour chaque nouveau bien :
  1. Clic droit sur chacun des onglets « Tableau de bord » et « Amort. unités d'oeuvre » → « Déplacer ou copier... ».
  2. Cocher « Créer une copie », puis valider : Excel crée une copie de l'onglet à la suite.
  3. Renommer chaque copie en ajoutant le nom du bien ou de la société.
  4. Renseigner le champ « Société / Dossier » (cellule M5 de l'onglet dupliqué) pour identifier le dossier.
• Les onglets « Conditions d'utilisation » et « Notice » sont communs à tous les dossiers ; inutile de les dupliquer.
• Chaque jeu d'onglets dupliqué fonctionne de façon autonome (ses propres formules, son propre plan d'amortissement).</t>
  </si>
  <si>
    <t xml:space="preserve">VERSION DÉMONSTRATION — DURÉE D'ESSAI</t>
  </si>
  <si>
    <t xml:space="preserve">• Cette version est une démonstration : le Tableau de bord (indicateurs, alerte principale et détail des vérifications) affiche 🔒 « Démo expirée » une fois la période d'essai écoulée (calculée depuis l'onglet « Conditions d'utilisation », cellules C26/C27). L'onglet « Amort. unités d'oeuvre » reste consultable et modifiable : le fichier ne contenant aucune macro, cette limitation porte sur l'affichage des résultats de synthèse, pas sur un verrouillage total.
• Pour réinitialiser la démo (nouveau prospect, ou pour prolonger votre propre test) : sur l'onglet « Conditions d'utilisation », effacez la cellule C26 (« Date de première utilisation »). Le compteur repart dès qu'une nouvelle date y est saisie ; vous pouvez aussi ajuster la durée d'essai en cellule C27.
• Cette limitation est un simple repère de bonne foi basé sur la date du jour de l'ordinateur — elle ne remplace pas une protection technique inviolable.</t>
  </si>
  <si>
    <t xml:space="preserve">PLAN D'AMORTISSEMENT PAR UNITÉS D'ŒUVRE — Machine-outil</t>
  </si>
  <si>
    <t xml:space="preserve">Cellules jaunes/bleues = données à saisir  |  Cellules blanches = calculs automatiques (formules)</t>
  </si>
  <si>
    <t xml:space="preserve">1. COÛT D'ACQUISITION (valeurs HT)</t>
  </si>
  <si>
    <t xml:space="preserve">2. PARAMÈTRES</t>
  </si>
  <si>
    <t xml:space="preserve">3. SUIVI &amp; IDENTIFICATION</t>
  </si>
  <si>
    <t xml:space="preserve">Prix d'achat HT net (après RRR et escompte financier)</t>
  </si>
  <si>
    <t xml:space="preserve">Date d'acquisition</t>
  </si>
  <si>
    <t xml:space="preserve">SURAMORTISSEMENT — Durée normale d'utilisation (années)</t>
  </si>
  <si>
    <t xml:space="preserve">N° de compte comptable</t>
  </si>
  <si>
    <t xml:space="preserve">215400</t>
  </si>
  <si>
    <t xml:space="preserve">Droits de douane</t>
  </si>
  <si>
    <t xml:space="preserve">Date de mise en service</t>
  </si>
  <si>
    <t xml:space="preserve">Nombre de jours par an (base comptable)</t>
  </si>
  <si>
    <t xml:space="preserve">Société / Dossier</t>
  </si>
  <si>
    <t xml:space="preserve">Exemple SARL (démo)</t>
  </si>
  <si>
    <t xml:space="preserve">Frais de transport</t>
  </si>
  <si>
    <t xml:space="preserve">Mode d'amortissement</t>
  </si>
  <si>
    <t xml:space="preserve">Par unités d'œuvre</t>
  </si>
  <si>
    <t xml:space="preserve">Nombre de jours (1er exercice, prorata)</t>
  </si>
  <si>
    <t xml:space="preserve">Exercice de clôture de référence</t>
  </si>
  <si>
    <t xml:space="preserve">Frais de montage sur le lieu d'utilisation</t>
  </si>
  <si>
    <t xml:space="preserve">Durée d'utilisation en unités d'œuvre (total prévisionnel)</t>
  </si>
  <si>
    <t xml:space="preserve">Taux linéaire fiscal (pour le suramortissement)</t>
  </si>
  <si>
    <t xml:space="preserve">Dernier exercice validé (contrôlé)</t>
  </si>
  <si>
    <t xml:space="preserve">Frais d'installation</t>
  </si>
  <si>
    <t xml:space="preserve">Taux d'amortissement par unité d'œuvre</t>
  </si>
  <si>
    <t xml:space="preserve">Taux de suramortissement (déduction exceptionnelle)</t>
  </si>
  <si>
    <t xml:space="preserve">Alerte bascule d'exercice</t>
  </si>
  <si>
    <t xml:space="preserve">Frais de déchargement</t>
  </si>
  <si>
    <t xml:space="preserve">Total des unités d'œuvre saisies (contrôle, ligne 25 et suiv.)</t>
  </si>
  <si>
    <t xml:space="preserve">Taux extra-comptable effectif</t>
  </si>
  <si>
    <t xml:space="preserve">Frais de remise en état (immobilisation d'occasion)</t>
  </si>
  <si>
    <t xml:space="preserve">Date de sortie (le cas échéant)</t>
  </si>
  <si>
    <t xml:space="preserve">Frais de démantèlement d'une immobilisation remplacée</t>
  </si>
  <si>
    <t xml:space="preserve">TVA non déductible</t>
  </si>
  <si>
    <t xml:space="preserve">Commissions</t>
  </si>
  <si>
    <t xml:space="preserve">Honoraires</t>
  </si>
  <si>
    <t xml:space="preserve">Frais d'actes et de contentions</t>
  </si>
  <si>
    <t xml:space="preserve">Droits de mutation (droits d'enregistrement)</t>
  </si>
  <si>
    <t xml:space="preserve">Valeur d'entrée (coût d'acquisition total)</t>
  </si>
  <si>
    <t xml:space="preserve">Taux du prix de cession (% de la valeur d'entrée)</t>
  </si>
  <si>
    <t xml:space="preserve">Prix de cession net (valeur résiduelle)</t>
  </si>
  <si>
    <t xml:space="preserve">Base amortissable comptable</t>
  </si>
  <si>
    <t xml:space="preserve">3. PLAN D'AMORTISSEMENT (SAISIR LES UNITÉS D'ŒUVRE DE CHAQUE EXERCICE)</t>
  </si>
  <si>
    <t xml:space="preserve">Exercice</t>
  </si>
  <si>
    <t xml:space="preserve">Date d'inventaire</t>
  </si>
  <si>
    <t xml:space="preserve">Unités d'œuvre de l'exercice</t>
  </si>
  <si>
    <t xml:space="preserve">Taux / unité</t>
  </si>
  <si>
    <t xml:space="preserve">Annuité</t>
  </si>
  <si>
    <t xml:space="preserve">Annuités cumulées</t>
  </si>
  <si>
    <t xml:space="preserve">VNC</t>
  </si>
  <si>
    <t xml:space="preserve">Dotation
suramortissement</t>
  </si>
  <si>
    <t xml:space="preserve">Cumul
suramortissement</t>
  </si>
  <si>
    <t xml:space="preserve">Écart
(comptable − suramort.)</t>
  </si>
  <si>
    <t xml:space="preserve">Réintégration / Déduction</t>
  </si>
  <si>
    <t xml:space="preserve">N</t>
  </si>
  <si>
    <t xml:space="preserve">N+1</t>
  </si>
  <si>
    <t xml:space="preserve">N+2</t>
  </si>
  <si>
    <t xml:space="preserve">N+3</t>
  </si>
  <si>
    <t xml:space="preserve">N+4</t>
  </si>
  <si>
    <t xml:space="preserve">N+5</t>
  </si>
  <si>
    <t xml:space="preserve">N+6</t>
  </si>
  <si>
    <t xml:space="preserve">N+7</t>
  </si>
  <si>
    <t xml:space="preserve">N+8</t>
  </si>
  <si>
    <t xml:space="preserve">N+9</t>
  </si>
  <si>
    <t xml:space="preserve">N+10</t>
  </si>
  <si>
    <t xml:space="preserve">N+11</t>
  </si>
  <si>
    <t xml:space="preserve">N+12</t>
  </si>
  <si>
    <t xml:space="preserve">N+13</t>
  </si>
  <si>
    <t xml:space="preserve">N+14</t>
  </si>
  <si>
    <t xml:space="preserve">N+15</t>
  </si>
  <si>
    <t xml:space="preserve">N+16</t>
  </si>
  <si>
    <t xml:space="preserve">N+17</t>
  </si>
  <si>
    <t xml:space="preserve">N+18</t>
  </si>
  <si>
    <t xml:space="preserve">N+19</t>
  </si>
  <si>
    <t xml:space="preserve">TOTAL (contrôle)</t>
  </si>
  <si>
    <t xml:space="preserve">Légende :</t>
  </si>
  <si>
    <t xml:space="preserve">  Cellule jaune / texte bleu = donnée à saisir (dont les unités d'œuvre de chaque exercice, colonne C)</t>
  </si>
  <si>
    <t xml:space="preserve">  Texte noir = calcul automatique (formule, ne pas modifier)</t>
  </si>
  <si>
    <t xml:space="preserve">  Taux par unité d'œuvre = Base amortissable / Durée d'utilisation en unités d'œuvre (total prévisionnel, cellule E7).</t>
  </si>
  <si>
    <t xml:space="preserve">  Si le total des unités saisies (E9) diffère du total prévisionnel (E7), la ligne "TOTAL (contrôle)" (colonne F) ne retombera pas exactement sur la base amortissable : révisez E7 ou les unités saisies.</t>
  </si>
</sst>
</file>

<file path=xl/styles.xml><?xml version="1.0" encoding="utf-8"?>
<styleSheet xmlns="http://schemas.openxmlformats.org/spreadsheetml/2006/main">
  <numFmts count="9">
    <numFmt numFmtId="164" formatCode="General"/>
    <numFmt numFmtId="165" formatCode="dd/mm/yyyy"/>
    <numFmt numFmtId="166" formatCode="#,##0.00&quot; €&quot;"/>
    <numFmt numFmtId="167" formatCode="#,##0"/>
    <numFmt numFmtId="168" formatCode="0"/>
    <numFmt numFmtId="169" formatCode="0.00%"/>
    <numFmt numFmtId="170" formatCode="#,##0.0000&quot; €&quot;"/>
    <numFmt numFmtId="171" formatCode="General"/>
    <numFmt numFmtId="172" formatCode="0.0%"/>
  </numFmts>
  <fonts count="33">
    <font>
      <sz val="11"/>
      <color theme="1"/>
      <name val="Calibri"/>
      <family val="2"/>
      <charset val="1"/>
    </font>
    <font>
      <sz val="10"/>
      <name val="Arial"/>
      <family val="0"/>
    </font>
    <font>
      <sz val="10"/>
      <name val="Arial"/>
      <family val="0"/>
    </font>
    <font>
      <sz val="10"/>
      <name val="Arial"/>
      <family val="0"/>
    </font>
    <font>
      <b val="true"/>
      <sz val="13"/>
      <color rgb="FFFFFFFF"/>
      <name val="Arial"/>
      <family val="0"/>
      <charset val="1"/>
    </font>
    <font>
      <b val="true"/>
      <sz val="11"/>
      <color rgb="FFFFFFFF"/>
      <name val="Calibri"/>
      <family val="0"/>
      <charset val="1"/>
    </font>
    <font>
      <sz val="10"/>
      <color rgb="FF000000"/>
      <name val="Calibri"/>
      <family val="0"/>
      <charset val="1"/>
    </font>
    <font>
      <b val="true"/>
      <sz val="10"/>
      <color rgb="FF9C0006"/>
      <name val="Calibri"/>
      <family val="0"/>
      <charset val="1"/>
    </font>
    <font>
      <b val="true"/>
      <sz val="10"/>
      <color rgb="FF000000"/>
      <name val="Calibri"/>
      <family val="0"/>
      <charset val="1"/>
    </font>
    <font>
      <sz val="10"/>
      <color rgb="FF0000FF"/>
      <name val="Arial"/>
      <family val="0"/>
      <charset val="1"/>
    </font>
    <font>
      <b val="true"/>
      <sz val="14"/>
      <color rgb="FFFFFFFF"/>
      <name val="Arial"/>
      <family val="0"/>
      <charset val="1"/>
    </font>
    <font>
      <b val="true"/>
      <sz val="8.5"/>
      <color rgb="FF808080"/>
      <name val="Arial"/>
      <family val="0"/>
      <charset val="1"/>
    </font>
    <font>
      <b val="true"/>
      <sz val="12"/>
      <color rgb="FF1F4E78"/>
      <name val="Arial"/>
      <family val="0"/>
      <charset val="1"/>
    </font>
    <font>
      <i val="true"/>
      <sz val="9"/>
      <color rgb="FF808080"/>
      <name val="Arial"/>
      <family val="0"/>
      <charset val="1"/>
    </font>
    <font>
      <b val="true"/>
      <sz val="11"/>
      <color rgb="FFFFFFFF"/>
      <name val="Arial"/>
      <family val="0"/>
      <charset val="1"/>
    </font>
    <font>
      <b val="true"/>
      <sz val="11"/>
      <name val="Arial"/>
      <family val="0"/>
      <charset val="1"/>
    </font>
    <font>
      <i val="true"/>
      <sz val="8.5"/>
      <color rgb="FF808080"/>
      <name val="Arial"/>
      <family val="0"/>
      <charset val="1"/>
    </font>
    <font>
      <b val="true"/>
      <sz val="11"/>
      <color rgb="FFFFFFFF"/>
      <name val="Cambria"/>
      <family val="0"/>
      <charset val="1"/>
    </font>
    <font>
      <b val="true"/>
      <sz val="18"/>
      <color rgb="FF000000"/>
      <name val="Calibri"/>
      <family val="2"/>
    </font>
    <font>
      <sz val="10"/>
      <color rgb="FF000000"/>
      <name val="Calibri"/>
      <family val="2"/>
    </font>
    <font>
      <b val="true"/>
      <sz val="10"/>
      <color rgb="FF000000"/>
      <name val="Calibri"/>
      <family val="2"/>
    </font>
    <font>
      <sz val="10"/>
      <name val="Arial"/>
      <family val="0"/>
      <charset val="1"/>
    </font>
    <font>
      <sz val="10"/>
      <color rgb="FF000000"/>
      <name val="Arial"/>
      <family val="0"/>
      <charset val="1"/>
    </font>
    <font>
      <i val="true"/>
      <sz val="10"/>
      <color rgb="FFC00000"/>
      <name val="Arial"/>
      <family val="0"/>
      <charset val="1"/>
    </font>
    <font>
      <b val="true"/>
      <sz val="11"/>
      <name val="Calibri"/>
      <family val="0"/>
      <charset val="1"/>
    </font>
    <font>
      <sz val="10"/>
      <name val="Calibri"/>
      <family val="0"/>
      <charset val="1"/>
    </font>
    <font>
      <sz val="9.5"/>
      <color rgb="FF808080"/>
      <name val="Calibri"/>
      <family val="0"/>
      <charset val="1"/>
    </font>
    <font>
      <sz val="11"/>
      <color rgb="FF0000FF"/>
      <name val="Calibri"/>
      <family val="0"/>
      <charset val="1"/>
    </font>
    <font>
      <sz val="11"/>
      <color rgb="FF000000"/>
      <name val="Calibri"/>
      <family val="0"/>
      <charset val="1"/>
    </font>
    <font>
      <sz val="11"/>
      <name val="Calibri"/>
      <family val="0"/>
      <charset val="1"/>
    </font>
    <font>
      <b val="true"/>
      <sz val="10"/>
      <name val="Arial"/>
      <family val="0"/>
      <charset val="1"/>
    </font>
    <font>
      <b val="true"/>
      <sz val="10"/>
      <color rgb="FFFFFFFF"/>
      <name val="Arial"/>
      <family val="0"/>
      <charset val="1"/>
    </font>
    <font>
      <i val="true"/>
      <sz val="9"/>
      <color rgb="FFC00000"/>
      <name val="Arial"/>
      <family val="0"/>
      <charset val="1"/>
    </font>
  </fonts>
  <fills count="8">
    <fill>
      <patternFill patternType="none"/>
    </fill>
    <fill>
      <patternFill patternType="gray125"/>
    </fill>
    <fill>
      <patternFill patternType="solid">
        <fgColor rgb="FF1F4E78"/>
        <bgColor rgb="FF003366"/>
      </patternFill>
    </fill>
    <fill>
      <patternFill patternType="solid">
        <fgColor rgb="FF2E75B6"/>
        <bgColor rgb="FF0066CC"/>
      </patternFill>
    </fill>
    <fill>
      <patternFill patternType="solid">
        <fgColor rgb="FFFFFFCC"/>
        <bgColor rgb="FFFFFFFF"/>
      </patternFill>
    </fill>
    <fill>
      <patternFill patternType="solid">
        <fgColor rgb="FFF2F2F2"/>
        <bgColor rgb="FFFFFFFF"/>
      </patternFill>
    </fill>
    <fill>
      <patternFill patternType="solid">
        <fgColor rgb="FFFCE4D6"/>
        <bgColor rgb="FFF2F2F2"/>
      </patternFill>
    </fill>
    <fill>
      <patternFill patternType="solid">
        <fgColor rgb="FFD9E1F2"/>
        <bgColor rgb="FFD9D9D9"/>
      </patternFill>
    </fill>
  </fills>
  <borders count="5">
    <border diagonalUp="false" diagonalDown="false">
      <left/>
      <right/>
      <top/>
      <bottom/>
      <diagonal/>
    </border>
    <border diagonalUp="false" diagonalDown="false">
      <left style="thin">
        <color rgb="FFB7B7B7"/>
      </left>
      <right style="thin">
        <color rgb="FFB7B7B7"/>
      </right>
      <top style="thin">
        <color rgb="FFB7B7B7"/>
      </top>
      <bottom style="thin">
        <color rgb="FFB7B7B7"/>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top style="thin">
        <color rgb="FFBFBFBF"/>
      </top>
      <bottom style="thin">
        <color rgb="FFBFBFBF"/>
      </bottom>
      <diagonal/>
    </border>
    <border diagonalUp="false" diagonalDown="false">
      <left style="thin">
        <color rgb="FFB7B7B7"/>
      </left>
      <right/>
      <top style="thin">
        <color rgb="FFB7B7B7"/>
      </top>
      <bottom style="thin">
        <color rgb="FFB7B7B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left"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left" vertical="top" textRotation="0" wrapText="tru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5" fontId="9" fillId="4" borderId="1" xfId="0" applyFont="true" applyBorder="true" applyAlignment="true" applyProtection="true">
      <alignment horizontal="general" vertical="bottom" textRotation="0" wrapText="false" indent="0" shrinkToFit="false"/>
      <protection locked="false" hidden="false"/>
    </xf>
    <xf numFmtId="164" fontId="9" fillId="4" borderId="1" xfId="0" applyFont="true" applyBorder="true" applyAlignment="true" applyProtection="true">
      <alignment horizontal="general" vertical="bottom" textRotation="0" wrapText="false" indent="0" shrinkToFit="false"/>
      <protection locked="false" hidden="false"/>
    </xf>
    <xf numFmtId="164" fontId="10" fillId="2" borderId="0" xfId="0" applyFont="true" applyBorder="true" applyAlignment="true" applyProtection="false">
      <alignment horizontal="left" vertical="center" textRotation="0" wrapText="false" indent="1"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4" fontId="14" fillId="3" borderId="0" xfId="0" applyFont="true" applyBorder="true" applyAlignment="true" applyProtection="false">
      <alignment horizontal="left" vertical="center" textRotation="0" wrapText="false" indent="1" shrinkToFit="false"/>
      <protection locked="true" hidden="false"/>
    </xf>
    <xf numFmtId="164" fontId="11" fillId="5" borderId="2" xfId="0" applyFont="true" applyBorder="true" applyAlignment="true" applyProtection="false">
      <alignment horizontal="left" vertical="center" textRotation="0" wrapText="true" indent="0" shrinkToFit="false"/>
      <protection locked="true" hidden="false"/>
    </xf>
    <xf numFmtId="166" fontId="12" fillId="5" borderId="2" xfId="0" applyFont="true" applyBorder="true" applyAlignment="true" applyProtection="false">
      <alignment horizontal="left" vertical="center" textRotation="0" wrapText="true" indent="0" shrinkToFit="false"/>
      <protection locked="true" hidden="false"/>
    </xf>
    <xf numFmtId="164" fontId="12" fillId="5" borderId="2" xfId="0" applyFont="true" applyBorder="true" applyAlignment="true" applyProtection="false">
      <alignment horizontal="left" vertical="center" textRotation="0" wrapText="true" indent="0" shrinkToFit="false"/>
      <protection locked="true" hidden="false"/>
    </xf>
    <xf numFmtId="167" fontId="12" fillId="5" borderId="2" xfId="0" applyFont="true" applyBorder="true" applyAlignment="true" applyProtection="false">
      <alignment horizontal="left" vertical="center" textRotation="0" wrapText="true" indent="0" shrinkToFit="false"/>
      <protection locked="true" hidden="false"/>
    </xf>
    <xf numFmtId="165" fontId="12" fillId="5" borderId="2" xfId="0" applyFont="true" applyBorder="true" applyAlignment="true" applyProtection="false">
      <alignment horizontal="left" vertical="center" textRotation="0" wrapText="true" indent="0" shrinkToFit="false"/>
      <protection locked="true" hidden="false"/>
    </xf>
    <xf numFmtId="168" fontId="12" fillId="5" borderId="2" xfId="0" applyFont="true" applyBorder="true" applyAlignment="true" applyProtection="false">
      <alignment horizontal="left" vertical="center" textRotation="0" wrapText="true" indent="0" shrinkToFit="false"/>
      <protection locked="true" hidden="false"/>
    </xf>
    <xf numFmtId="169" fontId="12" fillId="5" borderId="2" xfId="0" applyFont="true" applyBorder="true" applyAlignment="true" applyProtection="false">
      <alignment horizontal="left" vertical="center" textRotation="0" wrapText="true" indent="0" shrinkToFit="false"/>
      <protection locked="true" hidden="false"/>
    </xf>
    <xf numFmtId="164" fontId="15" fillId="0" borderId="3" xfId="0" applyFont="true" applyBorder="true" applyAlignment="true" applyProtection="false">
      <alignment horizontal="left" vertical="center" textRotation="0" wrapText="false" indent="1" shrinkToFit="false"/>
      <protection locked="true" hidden="false"/>
    </xf>
    <xf numFmtId="164" fontId="16" fillId="0" borderId="0" xfId="0" applyFont="true" applyBorder="true" applyAlignment="true" applyProtection="false">
      <alignment horizontal="left" vertical="top" textRotation="0" wrapText="true" indent="0" shrinkToFit="false"/>
      <protection locked="true" hidden="false"/>
    </xf>
    <xf numFmtId="164" fontId="17" fillId="2" borderId="0" xfId="0" applyFont="true" applyBorder="true" applyAlignment="tru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0" fillId="0" borderId="2" xfId="0" applyFont="false" applyBorder="tru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center" vertical="bottom" textRotation="0" wrapText="true" indent="0" shrinkToFit="false"/>
      <protection locked="true" hidden="false"/>
    </xf>
    <xf numFmtId="164" fontId="21" fillId="0" borderId="0" xfId="0" applyFont="true" applyBorder="false" applyAlignment="true" applyProtection="false">
      <alignment horizontal="left" vertical="top" textRotation="0" wrapText="true" indent="0" shrinkToFit="false"/>
      <protection locked="true" hidden="false"/>
    </xf>
    <xf numFmtId="164" fontId="9" fillId="4" borderId="0" xfId="0" applyFont="true" applyBorder="false" applyAlignment="tru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general" vertical="bottom" textRotation="0" wrapText="false" indent="0" shrinkToFit="false"/>
      <protection locked="true" hidden="false"/>
    </xf>
    <xf numFmtId="164" fontId="23" fillId="6" borderId="0" xfId="0" applyFont="true" applyBorder="false" applyAlignment="true" applyProtection="false">
      <alignment horizontal="left" vertical="top" textRotation="0" wrapText="true" indent="0"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general" vertical="top" textRotation="0" wrapText="tru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true" applyAlignment="true" applyProtection="false">
      <alignment horizontal="center" vertical="bottom" textRotation="0" wrapText="false" indent="0" shrinkToFit="false"/>
      <protection locked="true" hidden="false"/>
    </xf>
    <xf numFmtId="164" fontId="14" fillId="3" borderId="4" xfId="0" applyFont="true" applyBorder="true" applyAlignment="true" applyProtection="false">
      <alignment horizontal="left" vertical="center" textRotation="0" wrapText="false" indent="0" shrinkToFit="false"/>
      <protection locked="true" hidden="false"/>
    </xf>
    <xf numFmtId="164" fontId="21" fillId="0" borderId="1" xfId="0" applyFont="true" applyBorder="true" applyAlignment="true" applyProtection="false">
      <alignment horizontal="general" vertical="center" textRotation="0" wrapText="true" indent="0" shrinkToFit="false"/>
      <protection locked="true" hidden="false"/>
    </xf>
    <xf numFmtId="166" fontId="9" fillId="4" borderId="1" xfId="0" applyFont="true" applyBorder="true" applyAlignment="true" applyProtection="true">
      <alignment horizontal="general" vertical="bottom" textRotation="0" wrapText="false" indent="0" shrinkToFit="false"/>
      <protection locked="false" hidden="false"/>
    </xf>
    <xf numFmtId="164" fontId="21" fillId="0" borderId="1" xfId="0" applyFont="true" applyBorder="true" applyAlignment="true" applyProtection="false">
      <alignment horizontal="general" vertical="bottom" textRotation="0" wrapText="false" indent="0" shrinkToFit="false"/>
      <protection locked="true" hidden="false"/>
    </xf>
    <xf numFmtId="164" fontId="26" fillId="0" borderId="0" xfId="0" applyFont="true" applyBorder="false" applyAlignment="true" applyProtection="false">
      <alignment horizontal="general" vertical="center" textRotation="0" wrapText="true" indent="0" shrinkToFit="false"/>
      <protection locked="true" hidden="false"/>
    </xf>
    <xf numFmtId="168" fontId="27" fillId="4" borderId="0" xfId="0" applyFont="true" applyBorder="false" applyAlignment="true" applyProtection="true">
      <alignment horizontal="general" vertical="bottom" textRotation="0" wrapText="false" indent="0" shrinkToFit="false"/>
      <protection locked="false" hidden="false"/>
    </xf>
    <xf numFmtId="164" fontId="26" fillId="0" borderId="0" xfId="0" applyFont="true" applyBorder="false" applyAlignment="true" applyProtection="false">
      <alignment horizontal="general" vertical="bottom" textRotation="0" wrapText="false" indent="0" shrinkToFit="false"/>
      <protection locked="true" hidden="false"/>
    </xf>
    <xf numFmtId="164" fontId="27" fillId="4" borderId="0" xfId="0" applyFont="true" applyBorder="false" applyAlignment="true" applyProtection="true">
      <alignment horizontal="general" vertical="bottom" textRotation="0" wrapText="false" indent="0" shrinkToFit="false"/>
      <protection locked="false" hidden="false"/>
    </xf>
    <xf numFmtId="168" fontId="28" fillId="0" borderId="0" xfId="0" applyFont="true" applyBorder="false" applyAlignment="true" applyProtection="false">
      <alignment horizontal="general" vertical="bottom" textRotation="0" wrapText="false" indent="0" shrinkToFit="false"/>
      <protection locked="true" hidden="false"/>
    </xf>
    <xf numFmtId="167" fontId="9" fillId="4" borderId="1" xfId="0" applyFont="true" applyBorder="true" applyAlignment="true" applyProtection="true">
      <alignment horizontal="general" vertical="bottom" textRotation="0" wrapText="false" indent="0" shrinkToFit="false"/>
      <protection locked="false" hidden="false"/>
    </xf>
    <xf numFmtId="169" fontId="28" fillId="0" borderId="0" xfId="0" applyFont="true" applyBorder="false" applyAlignment="true" applyProtection="false">
      <alignment horizontal="general" vertical="bottom" textRotation="0" wrapText="false" indent="0" shrinkToFit="false"/>
      <protection locked="true" hidden="false"/>
    </xf>
    <xf numFmtId="170" fontId="22" fillId="0" borderId="1" xfId="0" applyFont="true" applyBorder="true" applyAlignment="true" applyProtection="false">
      <alignment horizontal="general" vertical="bottom" textRotation="0" wrapText="false" indent="0" shrinkToFit="false"/>
      <protection locked="true" hidden="false"/>
    </xf>
    <xf numFmtId="169" fontId="27" fillId="4" borderId="0" xfId="0" applyFont="true" applyBorder="false" applyAlignment="true" applyProtection="true">
      <alignment horizontal="general" vertical="bottom" textRotation="0" wrapText="false" indent="0" shrinkToFit="false"/>
      <protection locked="false" hidden="false"/>
    </xf>
    <xf numFmtId="167" fontId="22" fillId="0" borderId="1" xfId="0" applyFont="true" applyBorder="true" applyAlignment="true" applyProtection="false">
      <alignment horizontal="general" vertical="bottom" textRotation="0" wrapText="false" indent="0" shrinkToFit="false"/>
      <protection locked="true" hidden="false"/>
    </xf>
    <xf numFmtId="171" fontId="13" fillId="0" borderId="0" xfId="0" applyFont="true" applyBorder="true" applyAlignment="true" applyProtection="false">
      <alignment horizontal="center" vertical="bottom" textRotation="0" wrapText="false" indent="0" shrinkToFit="false"/>
      <protection locked="true" hidden="false"/>
    </xf>
    <xf numFmtId="164" fontId="29" fillId="0" borderId="0" xfId="0" applyFont="true" applyBorder="false" applyAlignment="true" applyProtection="false">
      <alignment horizontal="general" vertical="bottom" textRotation="0" wrapText="false" indent="0" shrinkToFit="false"/>
      <protection locked="true" hidden="false"/>
    </xf>
    <xf numFmtId="165" fontId="27" fillId="4" borderId="0" xfId="0" applyFont="true" applyBorder="false" applyAlignment="true" applyProtection="true">
      <alignment horizontal="general" vertical="bottom" textRotation="0" wrapText="false" indent="0" shrinkToFit="false"/>
      <protection locked="false" hidden="false"/>
    </xf>
    <xf numFmtId="166" fontId="27" fillId="4" borderId="0" xfId="0" applyFont="true" applyBorder="false" applyAlignment="true" applyProtection="true">
      <alignment horizontal="general" vertical="bottom" textRotation="0" wrapText="false" indent="0" shrinkToFit="false"/>
      <protection locked="false" hidden="false"/>
    </xf>
    <xf numFmtId="166" fontId="28" fillId="0" borderId="0" xfId="0" applyFont="true" applyBorder="false" applyAlignment="true" applyProtection="false">
      <alignment horizontal="general" vertical="bottom" textRotation="0" wrapText="false" indent="0" shrinkToFit="false"/>
      <protection locked="true" hidden="false"/>
    </xf>
    <xf numFmtId="171" fontId="28" fillId="0" borderId="0" xfId="0" applyFont="true" applyBorder="false" applyAlignment="true" applyProtection="false">
      <alignment horizontal="general" vertical="bottom" textRotation="0" wrapText="false" indent="0" shrinkToFit="false"/>
      <protection locked="true" hidden="false"/>
    </xf>
    <xf numFmtId="164" fontId="30" fillId="0" borderId="1" xfId="0" applyFont="true" applyBorder="true" applyAlignment="true" applyProtection="false">
      <alignment horizontal="general" vertical="bottom" textRotation="0" wrapText="false" indent="0" shrinkToFit="false"/>
      <protection locked="true" hidden="false"/>
    </xf>
    <xf numFmtId="166" fontId="30" fillId="7" borderId="1" xfId="0" applyFont="true" applyBorder="true" applyAlignment="true" applyProtection="false">
      <alignment horizontal="general" vertical="bottom" textRotation="0" wrapText="false" indent="0" shrinkToFit="false"/>
      <protection locked="true" hidden="false"/>
    </xf>
    <xf numFmtId="172" fontId="9" fillId="4" borderId="1" xfId="0" applyFont="true" applyBorder="true" applyAlignment="true" applyProtection="true">
      <alignment horizontal="general" vertical="bottom" textRotation="0" wrapText="false" indent="0" shrinkToFit="false"/>
      <protection locked="false" hidden="false"/>
    </xf>
    <xf numFmtId="166" fontId="22" fillId="0" borderId="1" xfId="0" applyFont="true" applyBorder="true" applyAlignment="true" applyProtection="false">
      <alignment horizontal="general" vertical="bottom" textRotation="0" wrapText="false" indent="0" shrinkToFit="false"/>
      <protection locked="true" hidden="false"/>
    </xf>
    <xf numFmtId="164" fontId="31" fillId="3" borderId="1" xfId="0" applyFont="true" applyBorder="true" applyAlignment="true" applyProtection="false">
      <alignment horizontal="center" vertical="center" textRotation="0" wrapText="true" indent="0" shrinkToFit="false"/>
      <protection locked="true" hidden="false"/>
    </xf>
    <xf numFmtId="164" fontId="5" fillId="3" borderId="0" xfId="0" applyFont="true" applyBorder="false" applyAlignment="true" applyProtection="false">
      <alignment horizontal="center" vertical="center" textRotation="0" wrapText="true" indent="0" shrinkToFit="false"/>
      <protection locked="true" hidden="false"/>
    </xf>
    <xf numFmtId="164" fontId="22" fillId="0" borderId="1" xfId="0" applyFont="true" applyBorder="true" applyAlignment="true" applyProtection="false">
      <alignment horizontal="center" vertical="bottom" textRotation="0" wrapText="false" indent="0" shrinkToFit="false"/>
      <protection locked="true" hidden="false"/>
    </xf>
    <xf numFmtId="165" fontId="22" fillId="0" borderId="1" xfId="0" applyFont="true" applyBorder="true" applyAlignment="true" applyProtection="false">
      <alignment horizontal="center" vertical="bottom" textRotation="0" wrapText="false" indent="0" shrinkToFit="false"/>
      <protection locked="true" hidden="false"/>
    </xf>
    <xf numFmtId="167" fontId="9" fillId="4" borderId="1" xfId="0" applyFont="true" applyBorder="true" applyAlignment="true" applyProtection="true">
      <alignment horizontal="center" vertical="bottom" textRotation="0" wrapText="false" indent="0" shrinkToFit="false"/>
      <protection locked="false" hidden="false"/>
    </xf>
    <xf numFmtId="170" fontId="22" fillId="0" borderId="1" xfId="0" applyFont="true" applyBorder="true" applyAlignment="true" applyProtection="false">
      <alignment horizontal="center" vertical="bottom" textRotation="0" wrapText="false" indent="0" shrinkToFit="false"/>
      <protection locked="true" hidden="false"/>
    </xf>
    <xf numFmtId="166" fontId="28" fillId="0" borderId="2" xfId="0" applyFont="true" applyBorder="true" applyAlignment="true" applyProtection="false">
      <alignment horizontal="general" vertical="bottom" textRotation="0" wrapText="false" indent="0" shrinkToFit="false"/>
      <protection locked="true" hidden="false"/>
    </xf>
    <xf numFmtId="171" fontId="28" fillId="0" borderId="2" xfId="0" applyFont="true" applyBorder="true" applyAlignment="true" applyProtection="false">
      <alignment horizontal="general" vertical="bottom" textRotation="0" wrapText="false" indent="0" shrinkToFit="false"/>
      <protection locked="true" hidden="false"/>
    </xf>
    <xf numFmtId="164" fontId="30" fillId="7" borderId="4" xfId="0" applyFont="true" applyBorder="true" applyAlignment="true" applyProtection="false">
      <alignment horizontal="general" vertical="bottom" textRotation="0" wrapText="false" indent="0" shrinkToFit="false"/>
      <protection locked="true" hidden="false"/>
    </xf>
    <xf numFmtId="164" fontId="21" fillId="7" borderId="1" xfId="0" applyFont="true" applyBorder="true" applyAlignment="true" applyProtection="false">
      <alignment horizontal="general" vertical="bottom" textRotation="0" wrapText="false" indent="0" shrinkToFit="false"/>
      <protection locked="true" hidden="false"/>
    </xf>
    <xf numFmtId="164" fontId="30"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ont>
        <b val="1"/>
        <color rgb="FF9C0006"/>
      </font>
      <fill>
        <patternFill>
          <bgColor rgb="FFFFC7CE"/>
        </patternFill>
      </fill>
    </dxf>
    <dxf>
      <font>
        <b val="1"/>
        <color rgb="FF9C6500"/>
      </font>
      <fill>
        <patternFill>
          <bgColor rgb="FFFFEB9C"/>
        </patternFill>
      </fill>
    </dxf>
    <dxf>
      <font>
        <b val="1"/>
        <color rgb="FF006100"/>
      </font>
      <fill>
        <patternFill>
          <bgColor rgb="FFC6EFCE"/>
        </patternFill>
      </fill>
    </dxf>
    <dxf>
      <fill>
        <patternFill>
          <bgColor rgb="FFC6EFCE"/>
        </patternFill>
      </fill>
    </dxf>
    <dxf>
      <fill>
        <patternFill>
          <bgColor rgb="FFFCE4D6"/>
        </patternFill>
      </fill>
    </dxf>
    <dxf>
      <fill>
        <patternFill>
          <bgColor rgb="FFFFC7CE"/>
        </patternFill>
      </fill>
    </dxf>
  </dxfs>
  <colors>
    <indexedColors>
      <rgbColor rgb="FF000000"/>
      <rgbColor rgb="FFFFFFFF"/>
      <rgbColor rgb="FFC00000"/>
      <rgbColor rgb="FF00FF00"/>
      <rgbColor rgb="FF0000FF"/>
      <rgbColor rgb="FFFFFF00"/>
      <rgbColor rgb="FFFF00FF"/>
      <rgbColor rgb="FF00FFFF"/>
      <rgbColor rgb="FF9C0006"/>
      <rgbColor rgb="FF006100"/>
      <rgbColor rgb="FF000080"/>
      <rgbColor rgb="FF9C6500"/>
      <rgbColor rgb="FF800080"/>
      <rgbColor rgb="FF008080"/>
      <rgbColor rgb="FFBFBFBF"/>
      <rgbColor rgb="FF808080"/>
      <rgbColor rgb="FF9999FF"/>
      <rgbColor rgb="FF993366"/>
      <rgbColor rgb="FFFFFFCC"/>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D9E1F2"/>
      <rgbColor rgb="FFC6EFCE"/>
      <rgbColor rgb="FFFFEB9C"/>
      <rgbColor rgb="FFB7B7B7"/>
      <rgbColor rgb="FFFCE4D6"/>
      <rgbColor rgb="FFCC99FF"/>
      <rgbColor rgb="FFFFC7CE"/>
      <rgbColor rgb="FF2E75B6"/>
      <rgbColor rgb="FF33CCCC"/>
      <rgbColor rgb="FF99CC00"/>
      <rgbColor rgb="FFFFCC00"/>
      <rgbColor rgb="FFFF9900"/>
      <rgbColor rgb="FFFF6600"/>
      <rgbColor rgb="FF666699"/>
      <rgbColor rgb="FFB3B3B3"/>
      <rgbColor rgb="FF003366"/>
      <rgbColor rgb="FF339966"/>
      <rgbColor rgb="FF003300"/>
      <rgbColor rgb="FF333300"/>
      <rgbColor rgb="FF993300"/>
      <rgbColor rgb="FF993366"/>
      <rgbColor rgb="FF1F4E7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Évolution de la VNC</a:t>
            </a:r>
          </a:p>
        </c:rich>
      </c:tx>
      <c:overlay val="0"/>
      <c:spPr>
        <a:noFill/>
        <a:ln w="0">
          <a:noFill/>
        </a:ln>
      </c:spPr>
    </c:title>
    <c:autoTitleDeleted val="0"/>
    <c:plotArea>
      <c:lineChart>
        <c:grouping val="standard"/>
        <c:varyColors val="0"/>
        <c:ser>
          <c:idx val="0"/>
          <c:order val="0"/>
          <c:tx>
            <c:strRef>
              <c:f>'Amort. unités d''oeuvre'!H24</c:f>
              <c:strCache>
                <c:ptCount val="1"/>
                <c:pt idx="0">
                  <c:v>VNC</c:v>
                </c:pt>
              </c:strCache>
            </c:strRef>
          </c:tx>
          <c:spPr>
            <a:solidFill>
              <a:srgbClr val="1f4e78"/>
            </a:solidFill>
            <a:ln w="20160">
              <a:solidFill>
                <a:srgbClr val="1f4e78"/>
              </a:solidFill>
              <a:round/>
            </a:ln>
          </c:spPr>
          <c:marker>
            <c:symbol val="circle"/>
            <c:size val="5"/>
            <c:spPr>
              <a:solidFill>
                <a:srgbClr val="1f4e78"/>
              </a:solidFill>
            </c:spPr>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'Amort. unités d''oeuvre'!$B$25:$B$29</c:f>
              <c:strCache>
                <c:ptCount val="5"/>
                <c:pt idx="0">
                  <c:v>30/12/1899</c:v>
                </c:pt>
                <c:pt idx="1">
                  <c:v>31/12/1900</c:v>
                </c:pt>
                <c:pt idx="2">
                  <c:v>31/12/1901</c:v>
                </c:pt>
                <c:pt idx="3">
                  <c:v>30/12/1899</c:v>
                </c:pt>
                <c:pt idx="4">
                  <c:v>30/12/1899</c:v>
                </c:pt>
              </c:strCache>
            </c:strRef>
          </c:cat>
          <c:val>
            <c:numRef>
              <c:f>'Amort. unités d''oeuvre'!$H$25:$H$29</c:f>
              <c:numCache>
                <c:formatCode>#,##0.00" €"</c:formatCode>
                <c:ptCount val="5"/>
                <c:pt idx="0">
                  <c:v>0</c:v>
                </c:pt>
                <c:pt idx="1">
                  <c:v>0</c:v>
                </c:pt>
                <c:pt idx="2">
                  <c:v>0</c:v>
                </c:pt>
                <c:pt idx="3">
                  <c:v>0</c:v>
                </c:pt>
                <c:pt idx="4">
                  <c:v>0</c:v>
                </c:pt>
              </c:numCache>
            </c:numRef>
          </c:val>
          <c:smooth val="0"/>
        </c:ser>
        <c:hiLowLines>
          <c:spPr>
            <a:ln w="0">
              <a:noFill/>
            </a:ln>
          </c:spPr>
        </c:hiLowLines>
        <c:marker val="1"/>
        <c:axId val="22238746"/>
        <c:axId val="630105"/>
      </c:lineChart>
      <c:catAx>
        <c:axId val="22238746"/>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Exercice</a:t>
                </a:r>
              </a:p>
            </c:rich>
          </c:tx>
          <c:overlay val="0"/>
          <c:spPr>
            <a:noFill/>
            <a:ln w="0">
              <a:noFill/>
            </a:ln>
          </c:spPr>
        </c:title>
        <c:numFmt formatCode="dd/mm/yyyy"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30105"/>
        <c:crosses val="autoZero"/>
        <c:auto val="1"/>
        <c:lblAlgn val="ctr"/>
        <c:lblOffset val="100"/>
        <c:noMultiLvlLbl val="0"/>
      </c:catAx>
      <c:valAx>
        <c:axId val="630105"/>
        <c:scaling>
          <c:orientation val="minMax"/>
        </c:scaling>
        <c:delete val="0"/>
        <c:axPos val="l"/>
        <c:majorGridlines>
          <c:spPr>
            <a:ln w="0">
              <a:solidFill>
                <a:srgbClr val="b3b3b3"/>
              </a:solidFill>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VNC</a:t>
                </a:r>
              </a:p>
            </c:rich>
          </c:tx>
          <c:overlay val="0"/>
          <c:spPr>
            <a:noFill/>
            <a:ln w="0">
              <a:noFill/>
            </a:ln>
          </c:spPr>
        </c:title>
        <c:numFmt formatCode="#,##0.00&quot; €&quot;"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2238746"/>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Dotations annuelles</a:t>
            </a:r>
          </a:p>
        </c:rich>
      </c:tx>
      <c:overlay val="0"/>
      <c:spPr>
        <a:noFill/>
        <a:ln w="0">
          <a:noFill/>
        </a:ln>
      </c:spPr>
    </c:title>
    <c:autoTitleDeleted val="0"/>
    <c:plotArea>
      <c:barChart>
        <c:barDir val="col"/>
        <c:grouping val="clustered"/>
        <c:varyColors val="0"/>
        <c:ser>
          <c:idx val="0"/>
          <c:order val="0"/>
          <c:tx>
            <c:strRef>
              <c:f>'Amort. unités d''oeuvre'!F24</c:f>
              <c:strCache>
                <c:ptCount val="1"/>
                <c:pt idx="0">
                  <c:v>Annuité</c:v>
                </c:pt>
              </c:strCache>
            </c:strRef>
          </c:tx>
          <c:spPr>
            <a:solidFill>
              <a:srgbClr val="2e75b6"/>
            </a:solidFill>
            <a:ln w="0">
              <a:solidFill>
                <a:srgbClr val="000000"/>
              </a:solid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'Amort. unités d''oeuvre'!$B$25:$B$29</c:f>
              <c:strCache>
                <c:ptCount val="5"/>
                <c:pt idx="0">
                  <c:v>30/12/1899</c:v>
                </c:pt>
                <c:pt idx="1">
                  <c:v>31/12/1900</c:v>
                </c:pt>
                <c:pt idx="2">
                  <c:v>31/12/1901</c:v>
                </c:pt>
                <c:pt idx="3">
                  <c:v>30/12/1899</c:v>
                </c:pt>
                <c:pt idx="4">
                  <c:v>30/12/1899</c:v>
                </c:pt>
              </c:strCache>
            </c:strRef>
          </c:cat>
          <c:val>
            <c:numRef>
              <c:f>'Amort. unités d''oeuvre'!$F$25:$F$29</c:f>
              <c:numCache>
                <c:formatCode>#,##0.00" €"</c:formatCode>
                <c:ptCount val="5"/>
                <c:pt idx="0">
                  <c:v>0</c:v>
                </c:pt>
                <c:pt idx="3">
                  <c:v>0</c:v>
                </c:pt>
                <c:pt idx="4">
                  <c:v>0</c:v>
                </c:pt>
              </c:numCache>
            </c:numRef>
          </c:val>
        </c:ser>
        <c:gapWidth val="40"/>
        <c:overlap val="0"/>
        <c:axId val="81570745"/>
        <c:axId val="66626015"/>
      </c:barChart>
      <c:catAx>
        <c:axId val="81570745"/>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Exercice</a:t>
                </a:r>
              </a:p>
            </c:rich>
          </c:tx>
          <c:overlay val="0"/>
          <c:spPr>
            <a:noFill/>
            <a:ln w="0">
              <a:noFill/>
            </a:ln>
          </c:spPr>
        </c:title>
        <c:numFmt formatCode="dd/mm/yyyy"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6626015"/>
        <c:crosses val="autoZero"/>
        <c:auto val="1"/>
        <c:lblAlgn val="ctr"/>
        <c:lblOffset val="100"/>
        <c:noMultiLvlLbl val="0"/>
      </c:catAx>
      <c:valAx>
        <c:axId val="66626015"/>
        <c:scaling>
          <c:orientation val="minMax"/>
        </c:scaling>
        <c:delete val="0"/>
        <c:axPos val="l"/>
        <c:majorGridlines>
          <c:spPr>
            <a:ln w="0">
              <a:solidFill>
                <a:srgbClr val="b3b3b3"/>
              </a:solidFill>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Dotation annuelle</a:t>
                </a:r>
              </a:p>
            </c:rich>
          </c:tx>
          <c:overlay val="0"/>
          <c:spPr>
            <a:noFill/>
            <a:ln w="0">
              <a:noFill/>
            </a:ln>
          </c:spPr>
        </c:title>
        <c:numFmt formatCode="#,##0.00&quot; €&quot;"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1570745"/>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26</xdr:row>
      <xdr:rowOff>0</xdr:rowOff>
    </xdr:from>
    <xdr:to>
      <xdr:col>4</xdr:col>
      <xdr:colOff>711720</xdr:colOff>
      <xdr:row>42</xdr:row>
      <xdr:rowOff>7200</xdr:rowOff>
    </xdr:to>
    <xdr:graphicFrame>
      <xdr:nvGraphicFramePr>
        <xdr:cNvPr id="0" name="Chart 1"/>
        <xdr:cNvGraphicFramePr/>
      </xdr:nvGraphicFramePr>
      <xdr:xfrm>
        <a:off x="211320" y="6877080"/>
        <a:ext cx="5575320" cy="30553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43</xdr:row>
      <xdr:rowOff>0</xdr:rowOff>
    </xdr:from>
    <xdr:to>
      <xdr:col>4</xdr:col>
      <xdr:colOff>711720</xdr:colOff>
      <xdr:row>59</xdr:row>
      <xdr:rowOff>7560</xdr:rowOff>
    </xdr:to>
    <xdr:graphicFrame>
      <xdr:nvGraphicFramePr>
        <xdr:cNvPr id="1" name="Chart 2"/>
        <xdr:cNvGraphicFramePr/>
      </xdr:nvGraphicFramePr>
      <xdr:xfrm>
        <a:off x="211320" y="10172880"/>
        <a:ext cx="5575320" cy="30553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100"/>
    <col collapsed="false" customWidth="true" hidden="false" outlineLevel="0" max="3" min="3" style="1" width="45"/>
  </cols>
  <sheetData>
    <row r="1" customFormat="false" ht="27.75" hidden="false" customHeight="true" outlineLevel="0" collapsed="false">
      <c r="A1" s="2" t="s">
        <v>0</v>
      </c>
      <c r="B1" s="2"/>
    </row>
    <row r="3" customFormat="false" ht="19.5" hidden="false" customHeight="true" outlineLevel="0" collapsed="false">
      <c r="A3" s="3" t="s">
        <v>1</v>
      </c>
      <c r="B3" s="3"/>
    </row>
    <row r="4" customFormat="false" ht="49.5" hidden="false" customHeight="true" outlineLevel="0" collapsed="false">
      <c r="B4" s="4" t="s">
        <v>2</v>
      </c>
    </row>
    <row r="6" customFormat="false" ht="19.5" hidden="false" customHeight="true" outlineLevel="0" collapsed="false">
      <c r="A6" s="3" t="s">
        <v>3</v>
      </c>
      <c r="B6" s="3"/>
    </row>
    <row r="7" customFormat="false" ht="67.5" hidden="false" customHeight="true" outlineLevel="0" collapsed="false">
      <c r="B7" s="4" t="s">
        <v>4</v>
      </c>
    </row>
    <row r="9" customFormat="false" ht="19.5" hidden="false" customHeight="true" outlineLevel="0" collapsed="false">
      <c r="A9" s="3" t="s">
        <v>5</v>
      </c>
      <c r="B9" s="3"/>
    </row>
    <row r="10" customFormat="false" ht="49.5" hidden="false" customHeight="true" outlineLevel="0" collapsed="false">
      <c r="B10" s="4" t="s">
        <v>6</v>
      </c>
    </row>
    <row r="12" customFormat="false" ht="19.5" hidden="false" customHeight="true" outlineLevel="0" collapsed="false">
      <c r="A12" s="3" t="s">
        <v>7</v>
      </c>
      <c r="B12" s="3"/>
    </row>
    <row r="13" customFormat="false" ht="33.75" hidden="false" customHeight="true" outlineLevel="0" collapsed="false">
      <c r="B13" s="4" t="s">
        <v>8</v>
      </c>
    </row>
    <row r="15" customFormat="false" ht="19.5" hidden="false" customHeight="true" outlineLevel="0" collapsed="false">
      <c r="A15" s="3" t="s">
        <v>9</v>
      </c>
      <c r="B15" s="3"/>
    </row>
    <row r="16" customFormat="false" ht="33.75" hidden="false" customHeight="true" outlineLevel="0" collapsed="false">
      <c r="B16" s="4" t="s">
        <v>10</v>
      </c>
    </row>
    <row r="18" customFormat="false" ht="19.5" hidden="false" customHeight="true" outlineLevel="0" collapsed="false">
      <c r="A18" s="3" t="s">
        <v>11</v>
      </c>
      <c r="B18" s="3"/>
    </row>
    <row r="19" customFormat="false" ht="144.75" hidden="false" customHeight="true" outlineLevel="0" collapsed="false">
      <c r="B19" s="5" t="s">
        <v>12</v>
      </c>
    </row>
    <row r="20" customFormat="false" ht="39.75" hidden="false" customHeight="true" outlineLevel="0" collapsed="false">
      <c r="B20" s="6"/>
    </row>
    <row r="22" customFormat="false" ht="24" hidden="false" customHeight="true" outlineLevel="0" collapsed="false">
      <c r="B22" s="7" t="s">
        <v>13</v>
      </c>
    </row>
    <row r="24" customFormat="false" ht="19.5" hidden="false" customHeight="true" outlineLevel="0" collapsed="false">
      <c r="A24" s="3" t="s">
        <v>14</v>
      </c>
      <c r="B24" s="3"/>
    </row>
    <row r="25" customFormat="false" ht="45" hidden="false" customHeight="true" outlineLevel="0" collapsed="false">
      <c r="B25" s="5" t="s">
        <v>15</v>
      </c>
    </row>
    <row r="26" customFormat="false" ht="15" hidden="false" customHeight="true" outlineLevel="0" collapsed="false">
      <c r="B26" s="8" t="s">
        <v>16</v>
      </c>
      <c r="C26" s="9"/>
    </row>
    <row r="27" customFormat="false" ht="15" hidden="false" customHeight="true" outlineLevel="0" collapsed="false">
      <c r="B27" s="8" t="s">
        <v>17</v>
      </c>
      <c r="C27" s="10" t="n">
        <v>14</v>
      </c>
    </row>
    <row r="28" customFormat="false" ht="30" hidden="false" customHeight="true" outlineLevel="0" collapsed="false">
      <c r="B28" s="8" t="s">
        <v>18</v>
      </c>
      <c r="C28" s="5" t="str">
        <f aca="true">IF($C$26="","⚪ Démo non démarrée — la date de première utilisation sera à renseigner par le destinataire.",IF(TODAY()&gt;$C$26+$C$27,"🔴 Démo expirée depuis le "&amp;TEXT($C$26+$C$27+1,"DD/MM/YYYY")&amp;". Contactez l'auteur pour la version complète.","🟢 Essai actif — "&amp;($C$26+$C$27-TODAY())&amp;" jour(s) restant(s) (jusqu'au "&amp;TEXT($C$26+$C$27,"DD/MM/YYYY")&amp;")."))</f>
        <v>⚪ Démo non démarrée — la date de première utilisation sera à renseigner par le destinataire.</v>
      </c>
    </row>
  </sheetData>
  <sheetProtection sheet="true" selectUnlockedCells="true"/>
  <mergeCells count="8">
    <mergeCell ref="A1:B1"/>
    <mergeCell ref="A3:B3"/>
    <mergeCell ref="A6:B6"/>
    <mergeCell ref="A9:B9"/>
    <mergeCell ref="A12:B12"/>
    <mergeCell ref="A15:B15"/>
    <mergeCell ref="A18:B18"/>
    <mergeCell ref="A24:B24"/>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L7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6" min="2" style="1" width="23"/>
    <col collapsed="false" customWidth="true" hidden="false" outlineLevel="0" max="7" min="7" style="1" width="3"/>
    <col collapsed="false" customWidth="true" hidden="false" outlineLevel="0" max="8" min="8" style="1" width="20"/>
    <col collapsed="false" customWidth="true" hidden="false" outlineLevel="0" max="12" min="9" style="1" width="16"/>
  </cols>
  <sheetData>
    <row r="2" customFormat="false" ht="25.5" hidden="false" customHeight="true" outlineLevel="0" collapsed="false">
      <c r="B2" s="11" t="s">
        <v>19</v>
      </c>
      <c r="C2" s="11"/>
      <c r="D2" s="11"/>
      <c r="E2" s="11"/>
      <c r="F2" s="11"/>
      <c r="H2" s="12" t="s">
        <v>20</v>
      </c>
      <c r="I2" s="13" t="str">
        <f aca="false">'Amort. unités d''oeuvre'!$M$5</f>
        <v>Exemple SARL (démo)</v>
      </c>
      <c r="J2" s="13"/>
      <c r="K2" s="13"/>
      <c r="L2" s="13"/>
    </row>
    <row r="3" customFormat="false" ht="15" hidden="false" customHeight="true" outlineLevel="0" collapsed="false">
      <c r="B3" s="14" t="s">
        <v>21</v>
      </c>
      <c r="H3" s="12" t="s">
        <v>22</v>
      </c>
      <c r="I3" s="13" t="str">
        <f aca="false">'Amort. unités d''oeuvre'!$M$4</f>
        <v>215400</v>
      </c>
      <c r="J3" s="13"/>
      <c r="K3" s="13"/>
      <c r="L3" s="13"/>
    </row>
    <row r="4" customFormat="false" ht="15" hidden="false" customHeight="true" outlineLevel="0" collapsed="false">
      <c r="H4" s="12" t="s">
        <v>23</v>
      </c>
      <c r="I4" s="13" t="n">
        <f aca="false">'Amort. unités d''oeuvre'!$K$9</f>
        <v>0</v>
      </c>
      <c r="J4" s="13"/>
      <c r="K4" s="13"/>
      <c r="L4" s="13"/>
    </row>
    <row r="5" customFormat="false" ht="19.5" hidden="false" customHeight="true" outlineLevel="0" collapsed="false">
      <c r="B5" s="15" t="s">
        <v>24</v>
      </c>
      <c r="C5" s="15"/>
      <c r="D5" s="15"/>
      <c r="E5" s="15"/>
      <c r="F5" s="15"/>
      <c r="H5" s="12" t="s">
        <v>25</v>
      </c>
      <c r="I5" s="13" t="str">
        <f aca="false">'Conditions d''utilisation'!$C$28</f>
        <v>⚪ Démo non démarrée — la date de première utilisation sera à renseigner par le destinataire.</v>
      </c>
      <c r="J5" s="13"/>
      <c r="K5" s="13"/>
      <c r="L5" s="13"/>
    </row>
    <row r="6" customFormat="false" ht="25.5" hidden="false" customHeight="true" outlineLevel="0" collapsed="false">
      <c r="B6" s="16" t="s">
        <v>26</v>
      </c>
      <c r="C6" s="16" t="s">
        <v>27</v>
      </c>
      <c r="D6" s="16" t="s">
        <v>28</v>
      </c>
      <c r="E6" s="16" t="s">
        <v>29</v>
      </c>
      <c r="F6" s="16" t="s">
        <v>30</v>
      </c>
    </row>
    <row r="7" customFormat="false" ht="31.5" hidden="false" customHeight="true" outlineLevel="0" collapsed="false">
      <c r="B7" s="17" t="n">
        <f aca="false">'Amort. unités d''oeuvre'!B17</f>
        <v>0</v>
      </c>
      <c r="C7" s="17" t="str">
        <f aca="true">IF(OR('Conditions d''utilisation'!$C$26="",TODAY()&gt;'Conditions d''utilisation'!$C$26+'Conditions d''utilisation'!$C$27),"🔒 Démo expirée",'Amort. unités d''oeuvre'!B20)</f>
        <v>🔒 Démo expirée</v>
      </c>
      <c r="D7" s="17" t="str">
        <f aca="true">IF(OR('Conditions d''utilisation'!$C$26="",TODAY()&gt;'Conditions d''utilisation'!$C$26+'Conditions d''utilisation'!$C$27),"🔒 Démo expirée",LOOKUP(2,1/('Amort. unités d''oeuvre'!G25:G44&lt;&gt;""),'Amort. unités d''oeuvre'!G25:G44))</f>
        <v>🔒 Démo expirée</v>
      </c>
      <c r="E7" s="17" t="str">
        <f aca="true">IF(OR('Conditions d''utilisation'!$C$26="",TODAY()&gt;'Conditions d''utilisation'!$C$26+'Conditions d''utilisation'!$C$27),"🔒 Démo expirée",LOOKUP(2,1/('Amort. unités d''oeuvre'!H25:H44&lt;&gt;""),'Amort. unités d''oeuvre'!H25:H44))</f>
        <v>🔒 Démo expirée</v>
      </c>
      <c r="F7" s="18" t="str">
        <f aca="true">IF(OR('Conditions d''utilisation'!$C$26="",TODAY()&gt;'Conditions d''utilisation'!$C$26+'Conditions d''utilisation'!$C$27),"🔒 Démo expirée",TEXT('Amort. unités d''oeuvre'!E8,"#,##0.0000")&amp;" € / u.o. — "&amp;TEXT('Amort. unités d''oeuvre'!E7,"#,##0")&amp;" u.o.")</f>
        <v>🔒 Démo expirée</v>
      </c>
    </row>
    <row r="9" customFormat="false" ht="25.5" hidden="false" customHeight="true" outlineLevel="0" collapsed="false">
      <c r="B9" s="16" t="s">
        <v>31</v>
      </c>
      <c r="C9" s="16" t="s">
        <v>32</v>
      </c>
      <c r="D9" s="16" t="s">
        <v>33</v>
      </c>
    </row>
    <row r="10" customFormat="false" ht="31.5" hidden="false" customHeight="true" outlineLevel="0" collapsed="false">
      <c r="B10" s="18" t="str">
        <f aca="true">IF(OR('Conditions d''utilisation'!$C$26="",TODAY()&gt;'Conditions d''utilisation'!$C$26+'Conditions d''utilisation'!$C$27),"🔒 Démo expirée",'Amort. unités d''oeuvre'!E14)</f>
        <v>🔒 Démo expirée</v>
      </c>
      <c r="C10" s="19" t="str">
        <f aca="true">IF(OR('Conditions d''utilisation'!$C$26="",TODAY()&gt;'Conditions d''utilisation'!$C$26+'Conditions d''utilisation'!$C$27),"🔒 Démo expirée",'Amort. unités d''oeuvre'!E9)</f>
        <v>🔒 Démo expirée</v>
      </c>
      <c r="D10" s="19" t="str">
        <f aca="true">IF(OR('Conditions d''utilisation'!$C$26="",TODAY()&gt;'Conditions d''utilisation'!$C$26+'Conditions d''utilisation'!$C$27),"🔒 Démo expirée",'Amort. unités d''oeuvre'!E7)</f>
        <v>🔒 Démo expirée</v>
      </c>
    </row>
    <row r="12" customFormat="false" ht="19.5" hidden="false" customHeight="true" outlineLevel="0" collapsed="false">
      <c r="B12" s="15" t="s">
        <v>34</v>
      </c>
      <c r="C12" s="15"/>
      <c r="D12" s="15"/>
      <c r="E12" s="15"/>
      <c r="F12" s="15"/>
    </row>
    <row r="13" customFormat="false" ht="25.5" hidden="false" customHeight="true" outlineLevel="0" collapsed="false">
      <c r="B13" s="16" t="s">
        <v>35</v>
      </c>
      <c r="C13" s="16" t="s">
        <v>36</v>
      </c>
      <c r="D13" s="16" t="s">
        <v>37</v>
      </c>
      <c r="E13" s="16" t="s">
        <v>38</v>
      </c>
    </row>
    <row r="14" customFormat="false" ht="31.5" hidden="false" customHeight="true" outlineLevel="0" collapsed="false">
      <c r="B14" s="20" t="str">
        <f aca="true">IF(OR('Conditions d''utilisation'!$C$26="",TODAY()&gt;'Conditions d''utilisation'!$C$26+'Conditions d''utilisation'!$C$27),"🔒 Démo expirée",IF('Amort. unités d''oeuvre'!E10="","Non renseignée",'Amort. unités d''oeuvre'!E10))</f>
        <v>🔒 Démo expirée</v>
      </c>
      <c r="C14" s="17" t="str">
        <f aca="true">IF(OR('Conditions d''utilisation'!$C$26="",TODAY()&gt;'Conditions d''utilisation'!$C$26+'Conditions d''utilisation'!$C$27),"🔒 Démo expirée",'Amort. unités d''oeuvre'!E11)</f>
        <v>🔒 Démo expirée</v>
      </c>
      <c r="D14" s="17" t="str">
        <f aca="true">IF(OR('Conditions d''utilisation'!$C$26="",TODAY()&gt;'Conditions d''utilisation'!$C$26+'Conditions d''utilisation'!$C$27),"🔒 Démo expirée",'Amort. unités d''oeuvre'!E12)</f>
        <v>🔒 Démo expirée</v>
      </c>
      <c r="E14" s="17" t="str">
        <f aca="true">IF(OR('Conditions d''utilisation'!$C$26="",TODAY()&gt;'Conditions d''utilisation'!$C$26+'Conditions d''utilisation'!$C$27),"🔒 Démo expirée",'Amort. unités d''oeuvre'!E13)</f>
        <v>🔒 Démo expirée</v>
      </c>
    </row>
    <row r="16" customFormat="false" ht="19.5" hidden="false" customHeight="true" outlineLevel="0" collapsed="false">
      <c r="B16" s="15" t="s">
        <v>39</v>
      </c>
      <c r="C16" s="15"/>
      <c r="D16" s="15"/>
      <c r="E16" s="15"/>
      <c r="F16" s="15"/>
    </row>
    <row r="17" customFormat="false" ht="25.5" hidden="false" customHeight="true" outlineLevel="0" collapsed="false">
      <c r="B17" s="16" t="s">
        <v>40</v>
      </c>
      <c r="C17" s="16" t="s">
        <v>41</v>
      </c>
      <c r="D17" s="16" t="s">
        <v>42</v>
      </c>
      <c r="E17" s="16" t="s">
        <v>43</v>
      </c>
    </row>
    <row r="18" customFormat="false" ht="31.5" hidden="false" customHeight="true" outlineLevel="0" collapsed="false">
      <c r="B18" s="21" t="str">
        <f aca="true">IF(OR('Conditions d''utilisation'!$C$26="",TODAY()&gt;'Conditions d''utilisation'!$C$26+'Conditions d''utilisation'!$C$27),"🔒 Démo expirée",'Amort. unités d''oeuvre'!I4)</f>
        <v>🔒 Démo expirée</v>
      </c>
      <c r="C18" s="22" t="str">
        <f aca="true">IF(OR('Conditions d''utilisation'!$C$26="",TODAY()&gt;'Conditions d''utilisation'!$C$26+'Conditions d''utilisation'!$C$27),"🔒 Démo expirée",'Amort. unités d''oeuvre'!I8)</f>
        <v>🔒 Démo expirée</v>
      </c>
      <c r="D18" s="17" t="str">
        <f aca="true">IF(OR('Conditions d''utilisation'!$C$26="",TODAY()&gt;'Conditions d''utilisation'!$C$26+'Conditions d''utilisation'!$C$27),"🔒 Démo expirée",IFERROR(LOOKUP(2,1/('Amort. unités d''oeuvre'!K25:K44&lt;&gt;""),'Amort. unités d''oeuvre'!K25:K44),0))</f>
        <v>🔒 Démo expirée</v>
      </c>
      <c r="E18" s="17" t="str">
        <f aca="true">IF(OR('Conditions d''utilisation'!$C$26="",TODAY()&gt;'Conditions d''utilisation'!$C$26+'Conditions d''utilisation'!$C$27),"🔒 Démo expirée",IFERROR(LOOKUP(2,1/('Amort. unités d''oeuvre'!G25:G44&lt;&gt;""),'Amort. unités d''oeuvre'!G25:G44)-LOOKUP(2,1/('Amort. unités d''oeuvre'!K25:K44&lt;&gt;""),'Amort. unités d''oeuvre'!K25:K44),0))</f>
        <v>🔒 Démo expirée</v>
      </c>
    </row>
    <row r="20" customFormat="false" ht="19.5" hidden="false" customHeight="true" outlineLevel="0" collapsed="false">
      <c r="B20" s="15" t="s">
        <v>44</v>
      </c>
      <c r="C20" s="15"/>
      <c r="D20" s="15"/>
      <c r="E20" s="15"/>
      <c r="F20" s="15"/>
    </row>
    <row r="21" customFormat="false" ht="21.75" hidden="false" customHeight="true" outlineLevel="0" collapsed="false">
      <c r="B21" s="23" t="str">
        <f aca="true">IF(OR('Conditions d''utilisation'!$C$26="",TODAY()&gt;'Conditions d''utilisation'!$C$26+'Conditions d''utilisation'!$C$27),"🔒 Démo expirée",IF('Amort. unités d''oeuvre'!E7&lt;=0,"🔴 Erreur : nombre total d'unités d'œuvre prévues invalide (doit être &gt; 0)",IF('Amort. unités d''oeuvre'!B19&gt;'Amort. unités d''oeuvre'!B17,"🔴 Erreur : la valeur résiduelle est supérieure à la valeur d'origine",IF(AND('Amort. unités d''oeuvre'!E10&lt;&gt;"",'Amort. unités d''oeuvre'!E10&lt;'Amort. unités d''oeuvre'!E5),"🔴 Erreur : la date de sortie est antérieure à la date de mise en service",IF(AND('Amort. unités d''oeuvre'!E10&lt;&gt;"",'Amort. unités d''oeuvre'!E11=""),"🟠 Vérification nécessaire : date de sortie renseignée sans prix de cession",IF(AND('Amort. unités d''oeuvre'!E9&lt;&gt;'Amort. unités d''oeuvre'!E7,'Amort. unités d''oeuvre'!E10=""),"🟠 Vérification nécessaire : le total des unités d'œuvre saisies ne correspond pas au total prévisionnel",IF(AND(E7&lt;=0,'Amort. unités d''oeuvre'!C25&lt;&gt;"",'Amort. unités d''oeuvre'!E10=""),"🟠 Vérification nécessaire : amortissement terminé, VNC = 0",IF(LEFT(C71,1)="🟠",C71,IF(LEFT(C72,1)="🟠",C72,"🟢 OK : tableau conforme")))))))))</f>
        <v>🔒 Démo expirée</v>
      </c>
      <c r="C21" s="23"/>
      <c r="D21" s="23"/>
      <c r="E21" s="23"/>
      <c r="F21" s="23"/>
    </row>
    <row r="23" customFormat="false" ht="18.75" hidden="false" customHeight="true" outlineLevel="0" collapsed="false">
      <c r="B23" s="24" t="s">
        <v>45</v>
      </c>
      <c r="C23" s="24"/>
      <c r="D23" s="24"/>
      <c r="E23" s="24"/>
      <c r="F23" s="24"/>
    </row>
    <row r="26" customFormat="false" ht="19.5" hidden="false" customHeight="true" outlineLevel="0" collapsed="false">
      <c r="B26" s="15" t="s">
        <v>46</v>
      </c>
      <c r="C26" s="15"/>
      <c r="D26" s="15"/>
      <c r="E26" s="15"/>
      <c r="F26" s="15"/>
    </row>
    <row r="43" customFormat="false" ht="19.5" hidden="false" customHeight="true" outlineLevel="0" collapsed="false">
      <c r="B43" s="15" t="s">
        <v>47</v>
      </c>
      <c r="C43" s="15"/>
      <c r="D43" s="15"/>
      <c r="E43" s="15"/>
      <c r="F43" s="15"/>
    </row>
    <row r="62" customFormat="false" ht="15" hidden="false" customHeight="true" outlineLevel="0" collapsed="false">
      <c r="B62" s="25" t="s">
        <v>48</v>
      </c>
      <c r="C62" s="25"/>
    </row>
    <row r="63" customFormat="false" ht="25.5" hidden="false" customHeight="true" outlineLevel="0" collapsed="false">
      <c r="B63" s="26" t="s">
        <v>49</v>
      </c>
      <c r="C63" s="27" t="str">
        <f aca="true">IF(OR('Conditions d''utilisation'!$C$26="",TODAY()&gt;'Conditions d''utilisation'!$C$26+'Conditions d''utilisation'!$C$27),"🔒 Démo expirée",IF('Amort. unités d''oeuvre'!E7&lt;=0,"🔴 Erreur : total prévu invalide","🟢 OK"))</f>
        <v>🔒 Démo expirée</v>
      </c>
    </row>
    <row r="64" customFormat="false" ht="25.5" hidden="false" customHeight="true" outlineLevel="0" collapsed="false">
      <c r="B64" s="26" t="s">
        <v>50</v>
      </c>
      <c r="C64" s="27" t="str">
        <f aca="true">IF(OR('Conditions d''utilisation'!$C$26="",TODAY()&gt;'Conditions d''utilisation'!$C$26+'Conditions d''utilisation'!$C$27),"🔒 Démo expirée",IF('Amort. unités d''oeuvre'!B19&gt;'Amort. unités d''oeuvre'!B17,"🔴 Erreur : valeur résiduelle trop élevée","🟢 OK"))</f>
        <v>🔒 Démo expirée</v>
      </c>
    </row>
    <row r="65" customFormat="false" ht="25.5" hidden="false" customHeight="true" outlineLevel="0" collapsed="false">
      <c r="B65" s="26" t="s">
        <v>51</v>
      </c>
      <c r="C65" s="27" t="str">
        <f aca="true">IF(OR('Conditions d''utilisation'!$C$26="",TODAY()&gt;'Conditions d''utilisation'!$C$26+'Conditions d''utilisation'!$C$27),"🔒 Démo expirée",IF(AND('Amort. unités d''oeuvre'!E10&lt;&gt;"",'Amort. unités d''oeuvre'!E10&lt;'Amort. unités d''oeuvre'!E5),"🔴 Erreur : sortie antérieure à la mise en service","🟢 OK"))</f>
        <v>🔒 Démo expirée</v>
      </c>
    </row>
    <row r="66" customFormat="false" ht="25.5" hidden="false" customHeight="true" outlineLevel="0" collapsed="false">
      <c r="B66" s="26" t="s">
        <v>52</v>
      </c>
      <c r="C66" s="27" t="str">
        <f aca="true">IF(OR('Conditions d''utilisation'!$C$26="",TODAY()&gt;'Conditions d''utilisation'!$C$26+'Conditions d''utilisation'!$C$27),"🔒 Démo expirée",IF(AND('Amort. unités d''oeuvre'!E10&lt;&gt;"",'Amort. unités d''oeuvre'!E11=""),"🟠 Vérification nécessaire : prix de cession manquant","🟢 OK"))</f>
        <v>🔒 Démo expirée</v>
      </c>
    </row>
    <row r="67" customFormat="false" ht="25.5" hidden="false" customHeight="true" outlineLevel="0" collapsed="false">
      <c r="B67" s="26" t="s">
        <v>53</v>
      </c>
      <c r="C67" s="27" t="str">
        <f aca="true">IF(OR('Conditions d''utilisation'!$C$26="",TODAY()&gt;'Conditions d''utilisation'!$C$26+'Conditions d''utilisation'!$C$27),"🔒 Démo expirée",IF(AND('Amort. unités d''oeuvre'!E9&lt;&gt;'Amort. unités d''oeuvre'!E7,'Amort. unités d''oeuvre'!E10=""),"🟠 Vérification nécessaire : écart entre unités saisies et total prévisionnel","🟢 OK"))</f>
        <v>🔒 Démo expirée</v>
      </c>
    </row>
    <row r="68" customFormat="false" ht="25.5" hidden="false" customHeight="true" outlineLevel="0" collapsed="false">
      <c r="B68" s="26" t="s">
        <v>54</v>
      </c>
      <c r="C68" s="27" t="str">
        <f aca="true">IF(OR('Conditions d''utilisation'!$C$26="",TODAY()&gt;'Conditions d''utilisation'!$C$26+'Conditions d''utilisation'!$C$27),"🔒 Démo expirée",IF(AND(E7&lt;=0,'Amort. unités d''oeuvre'!C25&lt;&gt;"",'Amort. unités d''oeuvre'!E10=""),"🟠 Vérification nécessaire : bien totalement amorti","🟢 OK"))</f>
        <v>🔒 Démo expirée</v>
      </c>
    </row>
    <row r="69" customFormat="false" ht="25.5" hidden="false" customHeight="true" outlineLevel="0" collapsed="false">
      <c r="B69" s="26" t="s">
        <v>55</v>
      </c>
      <c r="C69" s="27" t="str">
        <f aca="true">IF(OR('Conditions d''utilisation'!$C$26="",TODAY()&gt;'Conditions d''utilisation'!$C$26+'Conditions d''utilisation'!$C$27),"🔒 Démo expirée",IF('Amort. unités d''oeuvre'!E10&lt;&gt;"","🟠 Vérification nécessaire : sortie anticipée, écart normal",IF(ROUND('Amort. unités d''oeuvre'!F46-'Amort. unités d''oeuvre'!B20,2)&lt;&gt;0,"🔴 Erreur : le total ne correspond pas à la base amortissable","🟢 OK")))</f>
        <v>🔒 Démo expirée</v>
      </c>
    </row>
    <row r="71" customFormat="false" ht="54.75" hidden="false" customHeight="true" outlineLevel="0" collapsed="false">
      <c r="B71" s="1" t="s">
        <v>56</v>
      </c>
      <c r="C71" s="28" t="str">
        <f aca="true">IF(OR('Conditions d''utilisation'!$C$26="",TODAY()&gt;'Conditions d''utilisation'!$C$26+'Conditions d''utilisation'!$C$27),"🔒 Démo expirée",IF('Amort. unités d''oeuvre'!$M$6="","⚪ Renseignez l'exercice de référence (onglet Amort. unités d'oeuvre, cellule M6)",IF(AND(('Amort. unités d''oeuvre'!$M$6-YEAR('Amort. unités d''oeuvre'!$E$5)+1)&gt;=1,('Amort. unités d''oeuvre'!$M$6-YEAR('Amort. unités d''oeuvre'!$E$5)+1)&lt;=20,INDEX('Amort. unités d''oeuvre'!$H$25:$H$44,('Amort. unités d''oeuvre'!$M$6-YEAR('Amort. unités d''oeuvre'!$E$5)+1))&lt;=0,(INDEX('Amort. unités d''oeuvre'!$H$25:$H$44,('Amort. unités d''oeuvre'!$M$6-YEAR('Amort. unités d''oeuvre'!$E$5)+1))+INDEX('Amort. unités d''oeuvre'!$F$25:$F$44,('Amort. unités d''oeuvre'!$M$6-YEAR('Amort. unités d''oeuvre'!$E$5)+1)))&gt;0),"🟠 Vérification nécessaire : l'immobilisation devient totalement amortie à l'exercice de référence","🟢 OK")))</f>
        <v>🔒 Démo expirée</v>
      </c>
    </row>
    <row r="72" customFormat="false" ht="54.75" hidden="false" customHeight="true" outlineLevel="0" collapsed="false">
      <c r="B72" s="1" t="s">
        <v>57</v>
      </c>
      <c r="C72" s="28" t="str">
        <f aca="true">IF(OR('Conditions d''utilisation'!$C$26="",TODAY()&gt;'Conditions d''utilisation'!$C$26+'Conditions d''utilisation'!$C$27),"🔒 Démo expirée",IF('Amort. unités d''oeuvre'!$M$6="","⚪ Renseignez l'exercice de référence (onglet Amort. unités d'oeuvre, cellule M6)",IF(AND('Amort. unités d''oeuvre'!$E$10&lt;&gt;"",YEAR('Amort. unités d''oeuvre'!$E$10)='Amort. unités d''oeuvre'!$M$6),"🟠 Vérification nécessaire : sortie enregistrée à l'exercice de référence","🟢 OK")))</f>
        <v>🔒 Démo expirée</v>
      </c>
    </row>
  </sheetData>
  <sheetProtection sheet="true" selectUnlockedCells="true"/>
  <mergeCells count="14">
    <mergeCell ref="B2:F2"/>
    <mergeCell ref="I2:L2"/>
    <mergeCell ref="I3:L3"/>
    <mergeCell ref="I4:L4"/>
    <mergeCell ref="B5:F5"/>
    <mergeCell ref="I5:L5"/>
    <mergeCell ref="B12:F12"/>
    <mergeCell ref="B16:F16"/>
    <mergeCell ref="B20:F20"/>
    <mergeCell ref="B21:F21"/>
    <mergeCell ref="B23:F23"/>
    <mergeCell ref="B26:F26"/>
    <mergeCell ref="B43:F43"/>
    <mergeCell ref="B62:C62"/>
  </mergeCells>
  <conditionalFormatting sqref="B21">
    <cfRule type="expression" priority="2" aboveAverage="0" equalAverage="0" bottom="0" percent="0" rank="0" text="" dxfId="0">
      <formula>LEFT(B21,2)="🔴"</formula>
    </cfRule>
    <cfRule type="expression" priority="3" aboveAverage="0" equalAverage="0" bottom="0" percent="0" rank="0" text="" dxfId="1">
      <formula>LEFT(B21,2)="⚠️"</formula>
    </cfRule>
    <cfRule type="expression" priority="4" aboveAverage="0" equalAverage="0" bottom="0" percent="0" rank="0" text="" dxfId="2">
      <formula>LEFT(B21,2)="✅"</formula>
    </cfRule>
  </conditionalFormatting>
  <conditionalFormatting sqref="C63:C69">
    <cfRule type="cellIs" priority="5" operator="equal" aboveAverage="0" equalAverage="0" bottom="0" percent="0" rank="0" text="" dxfId="3">
      <formula>"🟢 OK"</formula>
    </cfRule>
    <cfRule type="expression" priority="6" aboveAverage="0" equalAverage="0" bottom="0" percent="0" rank="0" text="" dxfId="4">
      <formula>LEFT(C63,1)="🟠"</formula>
    </cfRule>
    <cfRule type="expression" priority="7" aboveAverage="0" equalAverage="0" bottom="0" percent="0" rank="0" text="" dxfId="5">
      <formula>LEFT(C63,1)="🔴"</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4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100"/>
  </cols>
  <sheetData>
    <row r="1" customFormat="false" ht="30" hidden="false" customHeight="true" outlineLevel="0" collapsed="false">
      <c r="A1" s="11" t="s">
        <v>58</v>
      </c>
      <c r="B1" s="11"/>
    </row>
    <row r="3" customFormat="false" ht="19.5" hidden="false" customHeight="true" outlineLevel="0" collapsed="false">
      <c r="A3" s="15" t="s">
        <v>59</v>
      </c>
      <c r="B3" s="15"/>
    </row>
    <row r="4" customFormat="false" ht="45" hidden="false" customHeight="true" outlineLevel="0" collapsed="false">
      <c r="B4" s="29" t="s">
        <v>60</v>
      </c>
    </row>
    <row r="6" customFormat="false" ht="19.5" hidden="false" customHeight="true" outlineLevel="0" collapsed="false">
      <c r="A6" s="15" t="s">
        <v>61</v>
      </c>
      <c r="B6" s="15"/>
    </row>
    <row r="7" customFormat="false" ht="15" hidden="false" customHeight="true" outlineLevel="0" collapsed="false">
      <c r="B7" s="29" t="s">
        <v>62</v>
      </c>
    </row>
    <row r="8" customFormat="false" ht="15" hidden="false" customHeight="true" outlineLevel="0" collapsed="false">
      <c r="B8" s="29" t="s">
        <v>63</v>
      </c>
    </row>
    <row r="9" customFormat="false" ht="30" hidden="false" customHeight="true" outlineLevel="0" collapsed="false">
      <c r="B9" s="29" t="s">
        <v>64</v>
      </c>
    </row>
    <row r="10" customFormat="false" ht="30" hidden="false" customHeight="true" outlineLevel="0" collapsed="false">
      <c r="B10" s="29" t="s">
        <v>65</v>
      </c>
    </row>
    <row r="11" customFormat="false" ht="15" hidden="false" customHeight="true" outlineLevel="0" collapsed="false">
      <c r="B11" s="29" t="s">
        <v>66</v>
      </c>
    </row>
    <row r="13" customFormat="false" ht="19.5" hidden="false" customHeight="true" outlineLevel="0" collapsed="false">
      <c r="A13" s="15" t="s">
        <v>67</v>
      </c>
      <c r="B13" s="15"/>
    </row>
    <row r="14" customFormat="false" ht="15" hidden="false" customHeight="true" outlineLevel="0" collapsed="false">
      <c r="B14" s="29" t="s">
        <v>68</v>
      </c>
    </row>
    <row r="15" customFormat="false" ht="30" hidden="false" customHeight="true" outlineLevel="0" collapsed="false">
      <c r="B15" s="29" t="s">
        <v>69</v>
      </c>
    </row>
    <row r="16" customFormat="false" ht="45" hidden="false" customHeight="true" outlineLevel="0" collapsed="false">
      <c r="B16" s="29" t="s">
        <v>70</v>
      </c>
    </row>
    <row r="17" customFormat="false" ht="45" hidden="false" customHeight="true" outlineLevel="0" collapsed="false">
      <c r="B17" s="29" t="s">
        <v>71</v>
      </c>
    </row>
    <row r="19" customFormat="false" ht="19.5" hidden="false" customHeight="true" outlineLevel="0" collapsed="false">
      <c r="A19" s="15" t="s">
        <v>72</v>
      </c>
      <c r="B19" s="15"/>
    </row>
    <row r="20" customFormat="false" ht="15.75" hidden="false" customHeight="true" outlineLevel="0" collapsed="false">
      <c r="B20" s="30" t="s">
        <v>73</v>
      </c>
    </row>
    <row r="21" customFormat="false" ht="15.75" hidden="false" customHeight="true" outlineLevel="0" collapsed="false">
      <c r="B21" s="31" t="s">
        <v>74</v>
      </c>
    </row>
    <row r="23" customFormat="false" ht="19.5" hidden="false" customHeight="true" outlineLevel="0" collapsed="false">
      <c r="A23" s="15" t="s">
        <v>75</v>
      </c>
      <c r="B23" s="15"/>
    </row>
    <row r="24" customFormat="false" ht="30" hidden="false" customHeight="true" outlineLevel="0" collapsed="false">
      <c r="B24" s="29" t="s">
        <v>76</v>
      </c>
    </row>
    <row r="25" customFormat="false" ht="45" hidden="false" customHeight="true" outlineLevel="0" collapsed="false">
      <c r="B25" s="29" t="s">
        <v>77</v>
      </c>
    </row>
    <row r="26" customFormat="false" ht="30" hidden="false" customHeight="true" outlineLevel="0" collapsed="false">
      <c r="B26" s="29" t="s">
        <v>78</v>
      </c>
    </row>
    <row r="28" customFormat="false" ht="19.5" hidden="false" customHeight="true" outlineLevel="0" collapsed="false">
      <c r="A28" s="15" t="s">
        <v>79</v>
      </c>
      <c r="B28" s="15"/>
    </row>
    <row r="29" customFormat="false" ht="45" hidden="false" customHeight="true" outlineLevel="0" collapsed="false">
      <c r="B29" s="32" t="s">
        <v>80</v>
      </c>
    </row>
    <row r="31" customFormat="false" ht="15" hidden="false" customHeight="true" outlineLevel="0" collapsed="false">
      <c r="A31" s="33" t="s">
        <v>81</v>
      </c>
    </row>
    <row r="32" customFormat="false" ht="72" hidden="false" customHeight="true" outlineLevel="0" collapsed="false">
      <c r="B32" s="34" t="s">
        <v>82</v>
      </c>
    </row>
    <row r="33" customFormat="false" ht="129.75" hidden="false" customHeight="true" outlineLevel="0" collapsed="false">
      <c r="B33" s="34" t="s">
        <v>83</v>
      </c>
    </row>
    <row r="34" customFormat="false" ht="57.75" hidden="false" customHeight="true" outlineLevel="0" collapsed="false">
      <c r="B34" s="34" t="s">
        <v>84</v>
      </c>
    </row>
    <row r="36" customFormat="false" ht="18" hidden="false" customHeight="true" outlineLevel="0" collapsed="false">
      <c r="A36" s="11" t="s">
        <v>85</v>
      </c>
      <c r="B36" s="11"/>
    </row>
    <row r="37" customFormat="false" ht="69" hidden="false" customHeight="true" outlineLevel="0" collapsed="false">
      <c r="B37" s="29" t="s">
        <v>86</v>
      </c>
    </row>
    <row r="39" customFormat="false" ht="18" hidden="false" customHeight="true" outlineLevel="0" collapsed="false">
      <c r="A39" s="11" t="s">
        <v>87</v>
      </c>
      <c r="B39" s="11"/>
    </row>
    <row r="40" customFormat="false" ht="69" hidden="false" customHeight="true" outlineLevel="0" collapsed="false">
      <c r="B40" s="29" t="s">
        <v>88</v>
      </c>
    </row>
    <row r="42" customFormat="false" ht="18" hidden="false" customHeight="true" outlineLevel="0" collapsed="false">
      <c r="A42" s="11" t="s">
        <v>89</v>
      </c>
      <c r="B42" s="11"/>
    </row>
    <row r="43" customFormat="false" ht="51" hidden="false" customHeight="true" outlineLevel="0" collapsed="false">
      <c r="B43" s="29" t="s">
        <v>90</v>
      </c>
    </row>
    <row r="45" customFormat="false" ht="18" hidden="false" customHeight="true" outlineLevel="0" collapsed="false">
      <c r="A45" s="11" t="s">
        <v>91</v>
      </c>
      <c r="B45" s="11"/>
    </row>
    <row r="46" customFormat="false" ht="120.75" hidden="false" customHeight="true" outlineLevel="0" collapsed="false">
      <c r="B46" s="29" t="s">
        <v>92</v>
      </c>
    </row>
    <row r="48" customFormat="false" ht="18" hidden="false" customHeight="true" outlineLevel="0" collapsed="false">
      <c r="A48" s="11" t="s">
        <v>93</v>
      </c>
      <c r="B48" s="11"/>
    </row>
    <row r="49" customFormat="false" ht="75" hidden="false" customHeight="true" outlineLevel="0" collapsed="false">
      <c r="B49" s="29" t="s">
        <v>94</v>
      </c>
    </row>
  </sheetData>
  <sheetProtection sheet="true" selectUnlockedCells="true"/>
  <mergeCells count="12">
    <mergeCell ref="A1:B1"/>
    <mergeCell ref="A3:B3"/>
    <mergeCell ref="A6:B6"/>
    <mergeCell ref="A13:B13"/>
    <mergeCell ref="A19:B19"/>
    <mergeCell ref="A23:B23"/>
    <mergeCell ref="A28:B28"/>
    <mergeCell ref="A36:B36"/>
    <mergeCell ref="A39:B39"/>
    <mergeCell ref="A42:B42"/>
    <mergeCell ref="A45:B45"/>
    <mergeCell ref="A48:B48"/>
  </mergeCell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52"/>
  <sheetViews>
    <sheetView showFormulas="false" showGridLines="false" showRowColHeaders="true" showZeros="true" rightToLeft="false" tabSelected="true" showOutlineSymbols="true" defaultGridColor="true" view="normal" topLeftCell="A25"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15"/>
    <col collapsed="false" customWidth="true" hidden="false" outlineLevel="0" max="3" min="3" style="1" width="20"/>
    <col collapsed="false" customWidth="true" hidden="false" outlineLevel="0" max="4" min="4" style="1" width="17"/>
    <col collapsed="false" customWidth="true" hidden="false" outlineLevel="0" max="6" min="5" style="1" width="14"/>
    <col collapsed="false" customWidth="true" hidden="false" outlineLevel="0" max="7" min="7" style="1" width="30"/>
    <col collapsed="false" customWidth="true" hidden="false" outlineLevel="0" max="9" min="8" style="1" width="13"/>
    <col collapsed="false" customWidth="true" hidden="false" outlineLevel="0" max="11" min="10" style="1" width="16"/>
    <col collapsed="false" customWidth="true" hidden="false" outlineLevel="0" max="12" min="12" style="1" width="15"/>
    <col collapsed="false" customWidth="true" hidden="false" outlineLevel="0" max="13" min="13" style="1" width="28"/>
  </cols>
  <sheetData>
    <row r="1" customFormat="false" ht="25.5" hidden="false" customHeight="true" outlineLevel="0" collapsed="false">
      <c r="A1" s="35" t="s">
        <v>95</v>
      </c>
      <c r="B1" s="35"/>
      <c r="C1" s="35"/>
      <c r="D1" s="35"/>
      <c r="E1" s="35"/>
      <c r="F1" s="35"/>
      <c r="G1" s="35"/>
      <c r="H1" s="35"/>
    </row>
    <row r="2" customFormat="false" ht="15" hidden="false" customHeight="true" outlineLevel="0" collapsed="false">
      <c r="A2" s="36" t="s">
        <v>96</v>
      </c>
      <c r="B2" s="36"/>
      <c r="C2" s="36"/>
      <c r="D2" s="36"/>
      <c r="E2" s="36"/>
      <c r="F2" s="36"/>
      <c r="G2" s="36"/>
      <c r="H2" s="36"/>
    </row>
    <row r="3" customFormat="false" ht="19.5" hidden="false" customHeight="true" outlineLevel="0" collapsed="false">
      <c r="A3" s="37" t="s">
        <v>97</v>
      </c>
      <c r="B3" s="37"/>
      <c r="D3" s="37" t="s">
        <v>98</v>
      </c>
      <c r="E3" s="37"/>
      <c r="K3" s="37" t="s">
        <v>99</v>
      </c>
      <c r="L3" s="37"/>
      <c r="M3" s="37"/>
    </row>
    <row r="4" customFormat="false" ht="27.75" hidden="false" customHeight="true" outlineLevel="0" collapsed="false">
      <c r="A4" s="38" t="s">
        <v>100</v>
      </c>
      <c r="B4" s="39" t="n">
        <v>180000</v>
      </c>
      <c r="D4" s="40" t="s">
        <v>101</v>
      </c>
      <c r="E4" s="9" t="n">
        <v>43845</v>
      </c>
      <c r="G4" s="41" t="s">
        <v>102</v>
      </c>
      <c r="I4" s="42" t="n">
        <v>0</v>
      </c>
      <c r="K4" s="43" t="s">
        <v>103</v>
      </c>
      <c r="M4" s="44" t="s">
        <v>104</v>
      </c>
    </row>
    <row r="5" customFormat="false" ht="19.5" hidden="false" customHeight="true" outlineLevel="0" collapsed="false">
      <c r="A5" s="38" t="s">
        <v>105</v>
      </c>
      <c r="B5" s="39" t="n">
        <v>0</v>
      </c>
      <c r="D5" s="40" t="s">
        <v>106</v>
      </c>
      <c r="E5" s="9" t="n">
        <v>43831</v>
      </c>
      <c r="G5" s="43" t="s">
        <v>107</v>
      </c>
      <c r="I5" s="42" t="n">
        <v>360</v>
      </c>
      <c r="K5" s="43" t="s">
        <v>108</v>
      </c>
      <c r="M5" s="44" t="s">
        <v>109</v>
      </c>
    </row>
    <row r="6" customFormat="false" ht="24" hidden="false" customHeight="true" outlineLevel="0" collapsed="false">
      <c r="A6" s="38" t="s">
        <v>110</v>
      </c>
      <c r="B6" s="39" t="n">
        <v>0</v>
      </c>
      <c r="D6" s="40" t="s">
        <v>111</v>
      </c>
      <c r="E6" s="10" t="s">
        <v>112</v>
      </c>
      <c r="G6" s="41" t="s">
        <v>113</v>
      </c>
      <c r="I6" s="45" t="n">
        <f aca="true">IF(OR('Conditions d''utilisation'!$C$26="",TODAY()&gt;'Conditions d''utilisation'!$C$26+'Conditions d''utilisation'!$C$27),0,IF($I$4=0,0,DAYS360($E$5,DATE(YEAR($E$5),12,31),TRUE())+1))</f>
        <v>0</v>
      </c>
      <c r="K6" s="43" t="s">
        <v>114</v>
      </c>
      <c r="M6" s="44" t="n">
        <v>2024</v>
      </c>
    </row>
    <row r="7" customFormat="false" ht="24" hidden="false" customHeight="true" outlineLevel="0" collapsed="false">
      <c r="A7" s="38" t="s">
        <v>115</v>
      </c>
      <c r="B7" s="39" t="n">
        <v>0</v>
      </c>
      <c r="D7" s="38" t="s">
        <v>116</v>
      </c>
      <c r="E7" s="46" t="n">
        <v>160000</v>
      </c>
      <c r="G7" s="41" t="s">
        <v>117</v>
      </c>
      <c r="I7" s="47" t="n">
        <f aca="true">IF(OR('Conditions d''utilisation'!$C$26="",TODAY()&gt;'Conditions d''utilisation'!$C$26+'Conditions d''utilisation'!$C$27),0,IF($I$4=0,0,1/$I$4))</f>
        <v>0</v>
      </c>
      <c r="K7" s="43" t="s">
        <v>118</v>
      </c>
      <c r="M7" s="44" t="n">
        <v>2023</v>
      </c>
    </row>
    <row r="8" customFormat="false" ht="25.5" hidden="false" customHeight="true" outlineLevel="0" collapsed="false">
      <c r="A8" s="38" t="s">
        <v>119</v>
      </c>
      <c r="B8" s="39" t="n">
        <v>0</v>
      </c>
      <c r="D8" s="40" t="s">
        <v>120</v>
      </c>
      <c r="E8" s="48" t="n">
        <f aca="true">IF(OR('Conditions d''utilisation'!$C$26="",TODAY()&gt;'Conditions d''utilisation'!$C$26+'Conditions d''utilisation'!$C$27),0,IF(E7=0,0,B20/E7))</f>
        <v>0</v>
      </c>
      <c r="G8" s="41" t="s">
        <v>121</v>
      </c>
      <c r="I8" s="49" t="n">
        <v>0</v>
      </c>
      <c r="K8" s="43" t="s">
        <v>122</v>
      </c>
    </row>
    <row r="9" customFormat="false" ht="15" hidden="false" customHeight="true" outlineLevel="0" collapsed="false">
      <c r="A9" s="38" t="s">
        <v>123</v>
      </c>
      <c r="B9" s="39" t="n">
        <v>0</v>
      </c>
      <c r="D9" s="38" t="s">
        <v>124</v>
      </c>
      <c r="E9" s="50" t="n">
        <f aca="true">IF(OR('Conditions d''utilisation'!$C$26="",TODAY()&gt;'Conditions d''utilisation'!$C$26+'Conditions d''utilisation'!$C$27),0,SUMIF(C25:C44,"&lt;&gt;"))</f>
        <v>0</v>
      </c>
      <c r="G9" s="43" t="s">
        <v>125</v>
      </c>
      <c r="I9" s="47" t="n">
        <f aca="true">IF(OR('Conditions d''utilisation'!$C$26="",TODAY()&gt;'Conditions d''utilisation'!$C$26+'Conditions d''utilisation'!$C$27),0,$I$7*$I$8)</f>
        <v>0</v>
      </c>
      <c r="K9" s="51" t="n">
        <f aca="true">IF(OR('Conditions d''utilisation'!$C$26="",TODAY()&gt;'Conditions d''utilisation'!$C$26+'Conditions d''utilisation'!$C$27),0,IF($M$7="","⚪ Renseignez ici le dernier exercice que vous avez contrôlé, pour activer l'alerte de changement d'exercice.",IF($M$6&lt;&gt;$M$7,"🟠 Bascule d'exercice détectée : passage de "&amp;$M$7&amp;" à "&amp;$M$6&amp;". Recontrôlez les résultats, puis mettez à jour ce champ avec "&amp;$M$6&amp;".","🟢 Exercice de référence inchangé depuis le dernier contrôle ("&amp;$M$7&amp;").")))</f>
        <v>0</v>
      </c>
      <c r="L9" s="51"/>
      <c r="M9" s="51"/>
    </row>
    <row r="10" customFormat="false" ht="15" hidden="false" customHeight="true" outlineLevel="0" collapsed="false">
      <c r="A10" s="38" t="s">
        <v>126</v>
      </c>
      <c r="B10" s="39" t="n">
        <v>0</v>
      </c>
      <c r="D10" s="52" t="s">
        <v>127</v>
      </c>
      <c r="E10" s="53"/>
      <c r="K10" s="51"/>
      <c r="L10" s="51"/>
      <c r="M10" s="51"/>
    </row>
    <row r="11" customFormat="false" ht="25.5" hidden="false" customHeight="true" outlineLevel="0" collapsed="false">
      <c r="A11" s="38" t="s">
        <v>128</v>
      </c>
      <c r="B11" s="39" t="n">
        <v>0</v>
      </c>
      <c r="D11" s="52" t="s">
        <v>36</v>
      </c>
      <c r="E11" s="54"/>
    </row>
    <row r="12" customFormat="false" ht="24" hidden="false" customHeight="true" outlineLevel="0" collapsed="false">
      <c r="A12" s="38" t="s">
        <v>129</v>
      </c>
      <c r="B12" s="39" t="n">
        <v>0</v>
      </c>
      <c r="D12" s="41" t="s">
        <v>37</v>
      </c>
      <c r="E12" s="55" t="n">
        <f aca="true">IF(OR('Conditions d''utilisation'!$C$26="",TODAY()&gt;'Conditions d''utilisation'!$C$26+'Conditions d''utilisation'!$C$27),0,IF($E$10="","",LOOKUP(2,1/($B$25:$B$44&lt;=$E$10),$H$25:$H$44)))</f>
        <v>0</v>
      </c>
    </row>
    <row r="13" customFormat="false" ht="24" hidden="false" customHeight="true" outlineLevel="0" collapsed="false">
      <c r="A13" s="38" t="s">
        <v>130</v>
      </c>
      <c r="B13" s="39" t="n">
        <v>0</v>
      </c>
      <c r="D13" s="41" t="s">
        <v>38</v>
      </c>
      <c r="E13" s="55" t="n">
        <f aca="true">IF(OR('Conditions d''utilisation'!$C$26="",TODAY()&gt;'Conditions d''utilisation'!$C$26+'Conditions d''utilisation'!$C$27),0,IF(OR($E$10="",$E$11=""),"",$E$11-$E$12))</f>
        <v>0</v>
      </c>
    </row>
    <row r="14" customFormat="false" ht="25.5" hidden="false" customHeight="true" outlineLevel="0" collapsed="false">
      <c r="A14" s="38" t="s">
        <v>131</v>
      </c>
      <c r="B14" s="39" t="n">
        <v>0</v>
      </c>
      <c r="D14" s="43" t="s">
        <v>31</v>
      </c>
      <c r="E14" s="56" t="n">
        <f aca="true">IF(OR('Conditions d''utilisation'!$C$26="",TODAY()&gt;'Conditions d''utilisation'!$C$26+'Conditions d''utilisation'!$C$27),0,IF($E$10&lt;&gt;"","Sorti (cédé)",IF(LOOKUP(2,1/($H$25:$H$44&lt;&gt;""),$H$25:$H$44)&lt;=0,"Totalement amorti","Actif")))</f>
        <v>0</v>
      </c>
    </row>
    <row r="15" customFormat="false" ht="25.5" hidden="false" customHeight="true" outlineLevel="0" collapsed="false">
      <c r="A15" s="38" t="s">
        <v>132</v>
      </c>
      <c r="B15" s="39" t="n">
        <v>0</v>
      </c>
    </row>
    <row r="16" customFormat="false" ht="25.5" hidden="false" customHeight="true" outlineLevel="0" collapsed="false">
      <c r="A16" s="38" t="s">
        <v>133</v>
      </c>
      <c r="B16" s="39" t="n">
        <v>0</v>
      </c>
    </row>
    <row r="17" customFormat="false" ht="15" hidden="false" customHeight="true" outlineLevel="0" collapsed="false">
      <c r="A17" s="57" t="s">
        <v>134</v>
      </c>
      <c r="B17" s="58" t="n">
        <f aca="true">IF(OR('Conditions d''utilisation'!$C$26="",TODAY()&gt;'Conditions d''utilisation'!$C$26+'Conditions d''utilisation'!$C$27),0,SUM(B4:B16))</f>
        <v>0</v>
      </c>
    </row>
    <row r="18" customFormat="false" ht="15" hidden="false" customHeight="true" outlineLevel="0" collapsed="false">
      <c r="A18" s="40" t="s">
        <v>135</v>
      </c>
      <c r="B18" s="59" t="n">
        <v>0</v>
      </c>
    </row>
    <row r="19" customFormat="false" ht="15" hidden="false" customHeight="true" outlineLevel="0" collapsed="false">
      <c r="A19" s="40" t="s">
        <v>136</v>
      </c>
      <c r="B19" s="60" t="n">
        <f aca="true">IF(OR('Conditions d''utilisation'!$C$26="",TODAY()&gt;'Conditions d''utilisation'!$C$26+'Conditions d''utilisation'!$C$27),0,B17*B18)</f>
        <v>0</v>
      </c>
    </row>
    <row r="20" customFormat="false" ht="15" hidden="false" customHeight="true" outlineLevel="0" collapsed="false">
      <c r="A20" s="57" t="s">
        <v>137</v>
      </c>
      <c r="B20" s="58" t="n">
        <f aca="true">IF(OR('Conditions d''utilisation'!$C$26="",TODAY()&gt;'Conditions d''utilisation'!$C$26+'Conditions d''utilisation'!$C$27),0,B17-B19)</f>
        <v>0</v>
      </c>
    </row>
    <row r="23" customFormat="false" ht="19.5" hidden="false" customHeight="true" outlineLevel="0" collapsed="false">
      <c r="A23" s="37" t="s">
        <v>138</v>
      </c>
      <c r="B23" s="37"/>
      <c r="C23" s="37"/>
      <c r="D23" s="37"/>
      <c r="E23" s="37"/>
      <c r="F23" s="37"/>
      <c r="G23" s="37"/>
      <c r="H23" s="37"/>
    </row>
    <row r="24" customFormat="false" ht="31.5" hidden="false" customHeight="true" outlineLevel="0" collapsed="false">
      <c r="A24" s="61" t="s">
        <v>139</v>
      </c>
      <c r="B24" s="61" t="s">
        <v>140</v>
      </c>
      <c r="C24" s="61" t="s">
        <v>141</v>
      </c>
      <c r="D24" s="61" t="s">
        <v>27</v>
      </c>
      <c r="E24" s="61" t="s">
        <v>142</v>
      </c>
      <c r="F24" s="61" t="s">
        <v>143</v>
      </c>
      <c r="G24" s="61" t="s">
        <v>144</v>
      </c>
      <c r="H24" s="61" t="s">
        <v>145</v>
      </c>
      <c r="J24" s="62" t="s">
        <v>146</v>
      </c>
      <c r="K24" s="62" t="s">
        <v>147</v>
      </c>
      <c r="L24" s="62" t="s">
        <v>148</v>
      </c>
      <c r="M24" s="62" t="s">
        <v>149</v>
      </c>
    </row>
    <row r="25" customFormat="false" ht="15" hidden="false" customHeight="true" outlineLevel="0" collapsed="false">
      <c r="A25" s="63" t="s">
        <v>150</v>
      </c>
      <c r="B25" s="64" t="n">
        <f aca="true">IF(OR('Conditions d''utilisation'!$C$26="",TODAY()&gt;'Conditions d''utilisation'!$C$26+'Conditions d''utilisation'!$C$27),0,IF(C25="","",DATE(YEAR($E$5),12,31)))</f>
        <v>0</v>
      </c>
      <c r="C25" s="65" t="n">
        <v>4000</v>
      </c>
      <c r="D25" s="60" t="n">
        <f aca="true">IF(OR('Conditions d''utilisation'!$C$26="",TODAY()&gt;'Conditions d''utilisation'!$C$26+'Conditions d''utilisation'!$C$27),0,IF(C25="","",$B$20))</f>
        <v>0</v>
      </c>
      <c r="E25" s="66" t="n">
        <f aca="true">IF(OR('Conditions d''utilisation'!$C$26="",TODAY()&gt;'Conditions d''utilisation'!$C$26+'Conditions d''utilisation'!$C$27),0,IF(C25="","",$E$8))</f>
        <v>0</v>
      </c>
      <c r="F25" s="60" t="n">
        <f aca="true">IF(OR('Conditions d''utilisation'!$C$26="",TODAY()&gt;'Conditions d''utilisation'!$C$26+'Conditions d''utilisation'!$C$27),0,IF(AND($E$10&lt;&gt;"",B25&lt;&gt;"",B25&gt;$E$10),0,IF(C25="","",MIN(ROUND(C25*$E$8,2),$B$20))))</f>
        <v>0</v>
      </c>
      <c r="G25" s="60" t="n">
        <f aca="true">IF(OR('Conditions d''utilisation'!$C$26="",TODAY()&gt;'Conditions d''utilisation'!$C$26+'Conditions d''utilisation'!$C$27),0,IF(F25="","",F25))</f>
        <v>0</v>
      </c>
      <c r="H25" s="60" t="n">
        <f aca="true">IF(OR('Conditions d''utilisation'!$C$26="",TODAY()&gt;'Conditions d''utilisation'!$C$26+'Conditions d''utilisation'!$C$27),0,IF(F25="","",$B$20-G25))</f>
        <v>0</v>
      </c>
      <c r="J25" s="67" t="n">
        <f aca="true">IF(OR('Conditions d''utilisation'!$C$26="",TODAY()&gt;'Conditions d''utilisation'!$C$26+'Conditions d''utilisation'!$C$27),0,IF(OR($I$9="",1&gt;$I$4,AND($E$10&lt;&gt;"",DATE(YEAR($E$5)+0,12,31)&gt;$E$10)),0,ROUND($B$20*$I$9*$I$6/$I$5,2)))</f>
        <v>0</v>
      </c>
      <c r="K25" s="67" t="n">
        <f aca="true">IF(OR('Conditions d''utilisation'!$C$26="",TODAY()&gt;'Conditions d''utilisation'!$C$26+'Conditions d''utilisation'!$C$27),0,J25)</f>
        <v>0</v>
      </c>
      <c r="L25" s="67" t="n">
        <f aca="true">IF(OR('Conditions d''utilisation'!$C$26="",TODAY()&gt;'Conditions d''utilisation'!$C$26+'Conditions d''utilisation'!$C$27),0,IF(AND(B25="",J25=0),"",N(F25)-J25))</f>
        <v>0</v>
      </c>
      <c r="M25" s="68" t="n">
        <f aca="true">IF(OR('Conditions d''utilisation'!$C$26="",TODAY()&gt;'Conditions d''utilisation'!$C$26+'Conditions d''utilisation'!$C$27),0,IF(L25="","",IF(L25&gt;0,"Réintégration de "&amp;TEXT(L25,"#,##0.00")&amp;" €",IF(L25&lt;0,"Déduction de "&amp;TEXT(-L25,"#,##0.00")&amp;" €","Aucun écart"))))</f>
        <v>0</v>
      </c>
    </row>
    <row r="26" customFormat="false" ht="15" hidden="false" customHeight="true" outlineLevel="0" collapsed="false">
      <c r="A26" s="63" t="s">
        <v>151</v>
      </c>
      <c r="B26" s="64" t="n">
        <f aca="false">IF(C26="","",DATE(YEAR(B25)+1,12,31))</f>
        <v>366</v>
      </c>
      <c r="C26" s="65" t="n">
        <v>20000</v>
      </c>
      <c r="D26" s="60" t="n">
        <f aca="false">IF(C26="","",$B$20)</f>
        <v>0</v>
      </c>
      <c r="E26" s="66" t="n">
        <f aca="false">IF(C26="","",$E$8)</f>
        <v>0</v>
      </c>
      <c r="F26" s="60" t="str">
        <f aca="false">IF(AND($E$10&lt;&gt;"",B26&lt;&gt;"",B26&gt;$E$10),0,IF(OR(C26="",H25="",H25&lt;=0),"",MIN(ROUND(C26*$E$8,2),H25)))</f>
        <v/>
      </c>
      <c r="G26" s="60" t="n">
        <f aca="true">IF(OR('Conditions d''utilisation'!$C$26="",TODAY()&gt;'Conditions d''utilisation'!$C$26+'Conditions d''utilisation'!$C$27),0,IF(F26="","",G25+F26))</f>
        <v>0</v>
      </c>
      <c r="H26" s="60" t="n">
        <f aca="true">IF(OR('Conditions d''utilisation'!$C$26="",TODAY()&gt;'Conditions d''utilisation'!$C$26+'Conditions d''utilisation'!$C$27),0,IF(F26="","",$B$20-G26))</f>
        <v>0</v>
      </c>
      <c r="J26" s="67" t="n">
        <f aca="true">IF(OR('Conditions d''utilisation'!$C$26="",TODAY()&gt;'Conditions d''utilisation'!$C$26+'Conditions d''utilisation'!$C$27),0,IF(OR($I$9="",2&gt;$I$4,AND($E$10&lt;&gt;"",DATE(YEAR($E$5)+1,12,31)&gt;$E$10)),0,MIN(ROUND($B$20*$I$9,2),MAX($B$20*$I$8-K25,0))))</f>
        <v>0</v>
      </c>
      <c r="K26" s="67" t="n">
        <f aca="true">IF(OR('Conditions d''utilisation'!$C$26="",TODAY()&gt;'Conditions d''utilisation'!$C$26+'Conditions d''utilisation'!$C$27),0,K25+J26)</f>
        <v>0</v>
      </c>
      <c r="L26" s="67" t="n">
        <f aca="true">IF(OR('Conditions d''utilisation'!$C$26="",TODAY()&gt;'Conditions d''utilisation'!$C$26+'Conditions d''utilisation'!$C$27),0,IF(AND(B26="",J26=0),"",N(F26)-J26))</f>
        <v>0</v>
      </c>
      <c r="M26" s="68" t="n">
        <f aca="true">IF(OR('Conditions d''utilisation'!$C$26="",TODAY()&gt;'Conditions d''utilisation'!$C$26+'Conditions d''utilisation'!$C$27),0,IF(L26="","",IF(L26&gt;0,"Réintégration de "&amp;TEXT(L26,"#,##0.00")&amp;" €",IF(L26&lt;0,"Déduction de "&amp;TEXT(-L26,"#,##0.00")&amp;" €","Aucun écart"))))</f>
        <v>0</v>
      </c>
    </row>
    <row r="27" customFormat="false" ht="15" hidden="false" customHeight="true" outlineLevel="0" collapsed="false">
      <c r="A27" s="63" t="s">
        <v>152</v>
      </c>
      <c r="B27" s="64" t="n">
        <f aca="false">IF(C27="","",DATE(YEAR(B26)+1,12,31))</f>
        <v>731</v>
      </c>
      <c r="C27" s="65" t="n">
        <v>50000</v>
      </c>
      <c r="D27" s="60" t="n">
        <f aca="false">IF(C27="","",$B$20)</f>
        <v>0</v>
      </c>
      <c r="E27" s="66" t="n">
        <f aca="false">IF(C27="","",$E$8)</f>
        <v>0</v>
      </c>
      <c r="F27" s="60" t="str">
        <f aca="false">IF(AND($E$10&lt;&gt;"",B27&lt;&gt;"",B27&gt;$E$10),0,IF(OR(C27="",H26="",H26&lt;=0),"",MIN(ROUND(C27*$E$8,2),H26)))</f>
        <v/>
      </c>
      <c r="G27" s="60" t="n">
        <f aca="true">IF(OR('Conditions d''utilisation'!$C$26="",TODAY()&gt;'Conditions d''utilisation'!$C$26+'Conditions d''utilisation'!$C$27),0,IF(F27="","",G26+F27))</f>
        <v>0</v>
      </c>
      <c r="H27" s="60" t="n">
        <f aca="true">IF(OR('Conditions d''utilisation'!$C$26="",TODAY()&gt;'Conditions d''utilisation'!$C$26+'Conditions d''utilisation'!$C$27),0,IF(F27="","",$B$20-G27))</f>
        <v>0</v>
      </c>
      <c r="J27" s="67" t="n">
        <f aca="true">IF(OR('Conditions d''utilisation'!$C$26="",TODAY()&gt;'Conditions d''utilisation'!$C$26+'Conditions d''utilisation'!$C$27),0,IF(OR($I$9="",3&gt;$I$4,AND($E$10&lt;&gt;"",DATE(YEAR($E$5)+2,12,31)&gt;$E$10)),0,MIN(ROUND($B$20*$I$9,2),MAX($B$20*$I$8-K26,0))))</f>
        <v>0</v>
      </c>
      <c r="K27" s="67" t="n">
        <f aca="true">IF(OR('Conditions d''utilisation'!$C$26="",TODAY()&gt;'Conditions d''utilisation'!$C$26+'Conditions d''utilisation'!$C$27),0,K26+J27)</f>
        <v>0</v>
      </c>
      <c r="L27" s="67" t="n">
        <f aca="true">IF(OR('Conditions d''utilisation'!$C$26="",TODAY()&gt;'Conditions d''utilisation'!$C$26+'Conditions d''utilisation'!$C$27),0,IF(AND(B27="",J27=0),"",N(F27)-J27))</f>
        <v>0</v>
      </c>
      <c r="M27" s="68" t="n">
        <f aca="true">IF(OR('Conditions d''utilisation'!$C$26="",TODAY()&gt;'Conditions d''utilisation'!$C$26+'Conditions d''utilisation'!$C$27),0,IF(L27="","",IF(L27&gt;0,"Réintégration de "&amp;TEXT(L27,"#,##0.00")&amp;" €",IF(L27&lt;0,"Déduction de "&amp;TEXT(-L27,"#,##0.00")&amp;" €","Aucun écart"))))</f>
        <v>0</v>
      </c>
    </row>
    <row r="28" customFormat="false" ht="15" hidden="false" customHeight="true" outlineLevel="0" collapsed="false">
      <c r="A28" s="63" t="s">
        <v>153</v>
      </c>
      <c r="B28" s="64" t="n">
        <f aca="true">IF(OR('Conditions d''utilisation'!$C$26="",TODAY()&gt;'Conditions d''utilisation'!$C$26+'Conditions d''utilisation'!$C$27),0,IF(C28="","",DATE(YEAR(B27)+1,12,31)))</f>
        <v>0</v>
      </c>
      <c r="C28" s="65" t="n">
        <v>50000</v>
      </c>
      <c r="D28" s="60" t="n">
        <f aca="true">IF(OR('Conditions d''utilisation'!$C$26="",TODAY()&gt;'Conditions d''utilisation'!$C$26+'Conditions d''utilisation'!$C$27),0,IF(C28="","",$B$20))</f>
        <v>0</v>
      </c>
      <c r="E28" s="66" t="n">
        <f aca="true">IF(OR('Conditions d''utilisation'!$C$26="",TODAY()&gt;'Conditions d''utilisation'!$C$26+'Conditions d''utilisation'!$C$27),0,IF(C28="","",$E$8))</f>
        <v>0</v>
      </c>
      <c r="F28" s="60" t="n">
        <f aca="true">IF(OR('Conditions d''utilisation'!$C$26="",TODAY()&gt;'Conditions d''utilisation'!$C$26+'Conditions d''utilisation'!$C$27),0,IF(AND($E$10&lt;&gt;"",B28&lt;&gt;"",B28&gt;$E$10),0,IF(OR(C28="",H27="",H27&lt;=0),"",MIN(ROUND(C28*$E$8,2),H27))))</f>
        <v>0</v>
      </c>
      <c r="G28" s="60" t="n">
        <f aca="true">IF(OR('Conditions d''utilisation'!$C$26="",TODAY()&gt;'Conditions d''utilisation'!$C$26+'Conditions d''utilisation'!$C$27),0,IF(F28="","",G27+F28))</f>
        <v>0</v>
      </c>
      <c r="H28" s="60" t="n">
        <f aca="true">IF(OR('Conditions d''utilisation'!$C$26="",TODAY()&gt;'Conditions d''utilisation'!$C$26+'Conditions d''utilisation'!$C$27),0,IF(F28="","",$B$20-G28))</f>
        <v>0</v>
      </c>
      <c r="J28" s="67" t="n">
        <f aca="true">IF(OR('Conditions d''utilisation'!$C$26="",TODAY()&gt;'Conditions d''utilisation'!$C$26+'Conditions d''utilisation'!$C$27),0,IF(OR($I$9="",4&gt;$I$4,AND($E$10&lt;&gt;"",DATE(YEAR($E$5)+3,12,31)&gt;$E$10)),0,MIN(ROUND($B$20*$I$9,2),MAX($B$20*$I$8-K27,0))))</f>
        <v>0</v>
      </c>
      <c r="K28" s="67" t="n">
        <f aca="true">IF(OR('Conditions d''utilisation'!$C$26="",TODAY()&gt;'Conditions d''utilisation'!$C$26+'Conditions d''utilisation'!$C$27),0,K27+J28)</f>
        <v>0</v>
      </c>
      <c r="L28" s="67" t="n">
        <f aca="true">IF(OR('Conditions d''utilisation'!$C$26="",TODAY()&gt;'Conditions d''utilisation'!$C$26+'Conditions d''utilisation'!$C$27),0,IF(AND(B28="",J28=0),"",N(F28)-J28))</f>
        <v>0</v>
      </c>
      <c r="M28" s="68" t="n">
        <f aca="true">IF(OR('Conditions d''utilisation'!$C$26="",TODAY()&gt;'Conditions d''utilisation'!$C$26+'Conditions d''utilisation'!$C$27),0,IF(L28="","",IF(L28&gt;0,"Réintégration de "&amp;TEXT(L28,"#,##0.00")&amp;" €",IF(L28&lt;0,"Déduction de "&amp;TEXT(-L28,"#,##0.00")&amp;" €","Aucun écart"))))</f>
        <v>0</v>
      </c>
    </row>
    <row r="29" customFormat="false" ht="15" hidden="false" customHeight="true" outlineLevel="0" collapsed="false">
      <c r="A29" s="63" t="s">
        <v>154</v>
      </c>
      <c r="B29" s="64" t="n">
        <f aca="true">IF(OR('Conditions d''utilisation'!$C$26="",TODAY()&gt;'Conditions d''utilisation'!$C$26+'Conditions d''utilisation'!$C$27),0,IF(C29="","",DATE(YEAR(B28)+1,12,31)))</f>
        <v>0</v>
      </c>
      <c r="C29" s="65" t="n">
        <v>36000</v>
      </c>
      <c r="D29" s="60" t="n">
        <f aca="true">IF(OR('Conditions d''utilisation'!$C$26="",TODAY()&gt;'Conditions d''utilisation'!$C$26+'Conditions d''utilisation'!$C$27),0,IF(C29="","",$B$20))</f>
        <v>0</v>
      </c>
      <c r="E29" s="66" t="n">
        <f aca="true">IF(OR('Conditions d''utilisation'!$C$26="",TODAY()&gt;'Conditions d''utilisation'!$C$26+'Conditions d''utilisation'!$C$27),0,IF(C29="","",$E$8))</f>
        <v>0</v>
      </c>
      <c r="F29" s="60" t="n">
        <f aca="true">IF(OR('Conditions d''utilisation'!$C$26="",TODAY()&gt;'Conditions d''utilisation'!$C$26+'Conditions d''utilisation'!$C$27),0,IF(AND($E$10&lt;&gt;"",B29&lt;&gt;"",B29&gt;$E$10),0,IF(OR(C29="",H28="",H28&lt;=0),"",MIN(ROUND(C29*$E$8,2),H28))))</f>
        <v>0</v>
      </c>
      <c r="G29" s="60" t="n">
        <f aca="true">IF(OR('Conditions d''utilisation'!$C$26="",TODAY()&gt;'Conditions d''utilisation'!$C$26+'Conditions d''utilisation'!$C$27),0,IF(F29="","",G28+F29))</f>
        <v>0</v>
      </c>
      <c r="H29" s="60" t="n">
        <f aca="true">IF(OR('Conditions d''utilisation'!$C$26="",TODAY()&gt;'Conditions d''utilisation'!$C$26+'Conditions d''utilisation'!$C$27),0,IF(F29="","",$B$20-G29))</f>
        <v>0</v>
      </c>
      <c r="J29" s="67" t="n">
        <f aca="true">IF(OR('Conditions d''utilisation'!$C$26="",TODAY()&gt;'Conditions d''utilisation'!$C$26+'Conditions d''utilisation'!$C$27),0,IF(OR($I$9="",5&gt;$I$4,AND($E$10&lt;&gt;"",DATE(YEAR($E$5)+4,12,31)&gt;$E$10)),0,MIN(ROUND($B$20*$I$9,2),MAX($B$20*$I$8-K28,0))))</f>
        <v>0</v>
      </c>
      <c r="K29" s="67" t="n">
        <f aca="true">IF(OR('Conditions d''utilisation'!$C$26="",TODAY()&gt;'Conditions d''utilisation'!$C$26+'Conditions d''utilisation'!$C$27),0,K28+J29)</f>
        <v>0</v>
      </c>
      <c r="L29" s="67" t="n">
        <f aca="true">IF(OR('Conditions d''utilisation'!$C$26="",TODAY()&gt;'Conditions d''utilisation'!$C$26+'Conditions d''utilisation'!$C$27),0,IF(AND(B29="",J29=0),"",N(F29)-J29))</f>
        <v>0</v>
      </c>
      <c r="M29" s="68" t="n">
        <f aca="true">IF(OR('Conditions d''utilisation'!$C$26="",TODAY()&gt;'Conditions d''utilisation'!$C$26+'Conditions d''utilisation'!$C$27),0,IF(L29="","",IF(L29&gt;0,"Réintégration de "&amp;TEXT(L29,"#,##0.00")&amp;" €",IF(L29&lt;0,"Déduction de "&amp;TEXT(-L29,"#,##0.00")&amp;" €","Aucun écart"))))</f>
        <v>0</v>
      </c>
    </row>
    <row r="30" customFormat="false" ht="15" hidden="false" customHeight="true" outlineLevel="0" collapsed="false">
      <c r="A30" s="63" t="s">
        <v>155</v>
      </c>
      <c r="B30" s="64" t="n">
        <f aca="true">IF(OR('Conditions d''utilisation'!$C$26="",TODAY()&gt;'Conditions d''utilisation'!$C$26+'Conditions d''utilisation'!$C$27),0,IF(C30="","",DATE(YEAR(B29)+1,12,31)))</f>
        <v>0</v>
      </c>
      <c r="C30" s="65"/>
      <c r="D30" s="60" t="n">
        <f aca="true">IF(OR('Conditions d''utilisation'!$C$26="",TODAY()&gt;'Conditions d''utilisation'!$C$26+'Conditions d''utilisation'!$C$27),0,IF(C30="","",$B$20))</f>
        <v>0</v>
      </c>
      <c r="E30" s="66" t="n">
        <f aca="true">IF(OR('Conditions d''utilisation'!$C$26="",TODAY()&gt;'Conditions d''utilisation'!$C$26+'Conditions d''utilisation'!$C$27),0,IF(C30="","",$E$8))</f>
        <v>0</v>
      </c>
      <c r="F30" s="60" t="n">
        <f aca="true">IF(OR('Conditions d''utilisation'!$C$26="",TODAY()&gt;'Conditions d''utilisation'!$C$26+'Conditions d''utilisation'!$C$27),0,IF(AND($E$10&lt;&gt;"",B30&lt;&gt;"",B30&gt;$E$10),0,IF(OR(C30="",H29="",H29&lt;=0),"",MIN(ROUND(C30*$E$8,2),H29))))</f>
        <v>0</v>
      </c>
      <c r="G30" s="60" t="n">
        <f aca="true">IF(OR('Conditions d''utilisation'!$C$26="",TODAY()&gt;'Conditions d''utilisation'!$C$26+'Conditions d''utilisation'!$C$27),0,IF(F30="","",G29+F30))</f>
        <v>0</v>
      </c>
      <c r="H30" s="60" t="n">
        <f aca="true">IF(OR('Conditions d''utilisation'!$C$26="",TODAY()&gt;'Conditions d''utilisation'!$C$26+'Conditions d''utilisation'!$C$27),0,IF(F30="","",$B$20-G30))</f>
        <v>0</v>
      </c>
      <c r="J30" s="67" t="n">
        <f aca="true">IF(OR('Conditions d''utilisation'!$C$26="",TODAY()&gt;'Conditions d''utilisation'!$C$26+'Conditions d''utilisation'!$C$27),0,IF(OR($I$9="",6&gt;$I$4,AND($E$10&lt;&gt;"",DATE(YEAR($E$5)+5,12,31)&gt;$E$10)),0,MIN(ROUND($B$20*$I$9,2),MAX($B$20*$I$8-K29,0))))</f>
        <v>0</v>
      </c>
      <c r="K30" s="67" t="n">
        <f aca="true">IF(OR('Conditions d''utilisation'!$C$26="",TODAY()&gt;'Conditions d''utilisation'!$C$26+'Conditions d''utilisation'!$C$27),0,K29+J30)</f>
        <v>0</v>
      </c>
      <c r="L30" s="67" t="n">
        <f aca="true">IF(OR('Conditions d''utilisation'!$C$26="",TODAY()&gt;'Conditions d''utilisation'!$C$26+'Conditions d''utilisation'!$C$27),0,IF(AND(B30="",J30=0),"",N(F30)-J30))</f>
        <v>0</v>
      </c>
      <c r="M30" s="68" t="n">
        <f aca="true">IF(OR('Conditions d''utilisation'!$C$26="",TODAY()&gt;'Conditions d''utilisation'!$C$26+'Conditions d''utilisation'!$C$27),0,IF(L30="","",IF(L30&gt;0,"Réintégration de "&amp;TEXT(L30,"#,##0.00")&amp;" €",IF(L30&lt;0,"Déduction de "&amp;TEXT(-L30,"#,##0.00")&amp;" €","Aucun écart"))))</f>
        <v>0</v>
      </c>
    </row>
    <row r="31" customFormat="false" ht="15" hidden="false" customHeight="true" outlineLevel="0" collapsed="false">
      <c r="A31" s="63" t="s">
        <v>156</v>
      </c>
      <c r="B31" s="64" t="n">
        <f aca="true">IF(OR('Conditions d''utilisation'!$C$26="",TODAY()&gt;'Conditions d''utilisation'!$C$26+'Conditions d''utilisation'!$C$27),0,IF(C31="","",DATE(YEAR(B30)+1,12,31)))</f>
        <v>0</v>
      </c>
      <c r="C31" s="65"/>
      <c r="D31" s="60" t="n">
        <f aca="true">IF(OR('Conditions d''utilisation'!$C$26="",TODAY()&gt;'Conditions d''utilisation'!$C$26+'Conditions d''utilisation'!$C$27),0,IF(C31="","",$B$20))</f>
        <v>0</v>
      </c>
      <c r="E31" s="66" t="n">
        <f aca="true">IF(OR('Conditions d''utilisation'!$C$26="",TODAY()&gt;'Conditions d''utilisation'!$C$26+'Conditions d''utilisation'!$C$27),0,IF(C31="","",$E$8))</f>
        <v>0</v>
      </c>
      <c r="F31" s="60" t="n">
        <f aca="true">IF(OR('Conditions d''utilisation'!$C$26="",TODAY()&gt;'Conditions d''utilisation'!$C$26+'Conditions d''utilisation'!$C$27),0,IF(AND($E$10&lt;&gt;"",B31&lt;&gt;"",B31&gt;$E$10),0,IF(OR(C31="",H30="",H30&lt;=0),"",MIN(ROUND(C31*$E$8,2),H30))))</f>
        <v>0</v>
      </c>
      <c r="G31" s="60" t="n">
        <f aca="true">IF(OR('Conditions d''utilisation'!$C$26="",TODAY()&gt;'Conditions d''utilisation'!$C$26+'Conditions d''utilisation'!$C$27),0,IF(F31="","",G30+F31))</f>
        <v>0</v>
      </c>
      <c r="H31" s="60" t="n">
        <f aca="true">IF(OR('Conditions d''utilisation'!$C$26="",TODAY()&gt;'Conditions d''utilisation'!$C$26+'Conditions d''utilisation'!$C$27),0,IF(F31="","",$B$20-G31))</f>
        <v>0</v>
      </c>
      <c r="J31" s="67" t="n">
        <f aca="true">IF(OR('Conditions d''utilisation'!$C$26="",TODAY()&gt;'Conditions d''utilisation'!$C$26+'Conditions d''utilisation'!$C$27),0,IF(OR($I$9="",7&gt;$I$4,AND($E$10&lt;&gt;"",DATE(YEAR($E$5)+6,12,31)&gt;$E$10)),0,MIN(ROUND($B$20*$I$9,2),MAX($B$20*$I$8-K30,0))))</f>
        <v>0</v>
      </c>
      <c r="K31" s="67" t="n">
        <f aca="true">IF(OR('Conditions d''utilisation'!$C$26="",TODAY()&gt;'Conditions d''utilisation'!$C$26+'Conditions d''utilisation'!$C$27),0,K30+J31)</f>
        <v>0</v>
      </c>
      <c r="L31" s="67" t="n">
        <f aca="true">IF(OR('Conditions d''utilisation'!$C$26="",TODAY()&gt;'Conditions d''utilisation'!$C$26+'Conditions d''utilisation'!$C$27),0,IF(AND(B31="",J31=0),"",N(F31)-J31))</f>
        <v>0</v>
      </c>
      <c r="M31" s="68" t="n">
        <f aca="true">IF(OR('Conditions d''utilisation'!$C$26="",TODAY()&gt;'Conditions d''utilisation'!$C$26+'Conditions d''utilisation'!$C$27),0,IF(L31="","",IF(L31&gt;0,"Réintégration de "&amp;TEXT(L31,"#,##0.00")&amp;" €",IF(L31&lt;0,"Déduction de "&amp;TEXT(-L31,"#,##0.00")&amp;" €","Aucun écart"))))</f>
        <v>0</v>
      </c>
    </row>
    <row r="32" customFormat="false" ht="15" hidden="false" customHeight="true" outlineLevel="0" collapsed="false">
      <c r="A32" s="63" t="s">
        <v>157</v>
      </c>
      <c r="B32" s="64" t="n">
        <f aca="true">IF(OR('Conditions d''utilisation'!$C$26="",TODAY()&gt;'Conditions d''utilisation'!$C$26+'Conditions d''utilisation'!$C$27),0,IF(C32="","",DATE(YEAR(B31)+1,12,31)))</f>
        <v>0</v>
      </c>
      <c r="C32" s="65"/>
      <c r="D32" s="60" t="n">
        <f aca="true">IF(OR('Conditions d''utilisation'!$C$26="",TODAY()&gt;'Conditions d''utilisation'!$C$26+'Conditions d''utilisation'!$C$27),0,IF(C32="","",$B$20))</f>
        <v>0</v>
      </c>
      <c r="E32" s="66" t="n">
        <f aca="true">IF(OR('Conditions d''utilisation'!$C$26="",TODAY()&gt;'Conditions d''utilisation'!$C$26+'Conditions d''utilisation'!$C$27),0,IF(C32="","",$E$8))</f>
        <v>0</v>
      </c>
      <c r="F32" s="60" t="n">
        <f aca="true">IF(OR('Conditions d''utilisation'!$C$26="",TODAY()&gt;'Conditions d''utilisation'!$C$26+'Conditions d''utilisation'!$C$27),0,IF(AND($E$10&lt;&gt;"",B32&lt;&gt;"",B32&gt;$E$10),0,IF(OR(C32="",H31="",H31&lt;=0),"",MIN(ROUND(C32*$E$8,2),H31))))</f>
        <v>0</v>
      </c>
      <c r="G32" s="60" t="n">
        <f aca="true">IF(OR('Conditions d''utilisation'!$C$26="",TODAY()&gt;'Conditions d''utilisation'!$C$26+'Conditions d''utilisation'!$C$27),0,IF(F32="","",G31+F32))</f>
        <v>0</v>
      </c>
      <c r="H32" s="60" t="n">
        <f aca="true">IF(OR('Conditions d''utilisation'!$C$26="",TODAY()&gt;'Conditions d''utilisation'!$C$26+'Conditions d''utilisation'!$C$27),0,IF(F32="","",$B$20-G32))</f>
        <v>0</v>
      </c>
      <c r="J32" s="67" t="n">
        <f aca="true">IF(OR('Conditions d''utilisation'!$C$26="",TODAY()&gt;'Conditions d''utilisation'!$C$26+'Conditions d''utilisation'!$C$27),0,IF(OR($I$9="",8&gt;$I$4,AND($E$10&lt;&gt;"",DATE(YEAR($E$5)+7,12,31)&gt;$E$10)),0,MIN(ROUND($B$20*$I$9,2),MAX($B$20*$I$8-K31,0))))</f>
        <v>0</v>
      </c>
      <c r="K32" s="67" t="n">
        <f aca="true">IF(OR('Conditions d''utilisation'!$C$26="",TODAY()&gt;'Conditions d''utilisation'!$C$26+'Conditions d''utilisation'!$C$27),0,K31+J32)</f>
        <v>0</v>
      </c>
      <c r="L32" s="67" t="n">
        <f aca="true">IF(OR('Conditions d''utilisation'!$C$26="",TODAY()&gt;'Conditions d''utilisation'!$C$26+'Conditions d''utilisation'!$C$27),0,IF(AND(B32="",J32=0),"",N(F32)-J32))</f>
        <v>0</v>
      </c>
      <c r="M32" s="68" t="n">
        <f aca="true">IF(OR('Conditions d''utilisation'!$C$26="",TODAY()&gt;'Conditions d''utilisation'!$C$26+'Conditions d''utilisation'!$C$27),0,IF(L32="","",IF(L32&gt;0,"Réintégration de "&amp;TEXT(L32,"#,##0.00")&amp;" €",IF(L32&lt;0,"Déduction de "&amp;TEXT(-L32,"#,##0.00")&amp;" €","Aucun écart"))))</f>
        <v>0</v>
      </c>
    </row>
    <row r="33" customFormat="false" ht="15" hidden="false" customHeight="true" outlineLevel="0" collapsed="false">
      <c r="A33" s="63" t="s">
        <v>158</v>
      </c>
      <c r="B33" s="64" t="n">
        <f aca="true">IF(OR('Conditions d''utilisation'!$C$26="",TODAY()&gt;'Conditions d''utilisation'!$C$26+'Conditions d''utilisation'!$C$27),0,IF(C33="","",DATE(YEAR(B32)+1,12,31)))</f>
        <v>0</v>
      </c>
      <c r="C33" s="65"/>
      <c r="D33" s="60" t="n">
        <f aca="true">IF(OR('Conditions d''utilisation'!$C$26="",TODAY()&gt;'Conditions d''utilisation'!$C$26+'Conditions d''utilisation'!$C$27),0,IF(C33="","",$B$20))</f>
        <v>0</v>
      </c>
      <c r="E33" s="66" t="n">
        <f aca="true">IF(OR('Conditions d''utilisation'!$C$26="",TODAY()&gt;'Conditions d''utilisation'!$C$26+'Conditions d''utilisation'!$C$27),0,IF(C33="","",$E$8))</f>
        <v>0</v>
      </c>
      <c r="F33" s="60" t="n">
        <f aca="true">IF(OR('Conditions d''utilisation'!$C$26="",TODAY()&gt;'Conditions d''utilisation'!$C$26+'Conditions d''utilisation'!$C$27),0,IF(AND($E$10&lt;&gt;"",B33&lt;&gt;"",B33&gt;$E$10),0,IF(OR(C33="",H32="",H32&lt;=0),"",MIN(ROUND(C33*$E$8,2),H32))))</f>
        <v>0</v>
      </c>
      <c r="G33" s="60" t="n">
        <f aca="true">IF(OR('Conditions d''utilisation'!$C$26="",TODAY()&gt;'Conditions d''utilisation'!$C$26+'Conditions d''utilisation'!$C$27),0,IF(F33="","",G32+F33))</f>
        <v>0</v>
      </c>
      <c r="H33" s="60" t="n">
        <f aca="true">IF(OR('Conditions d''utilisation'!$C$26="",TODAY()&gt;'Conditions d''utilisation'!$C$26+'Conditions d''utilisation'!$C$27),0,IF(F33="","",$B$20-G33))</f>
        <v>0</v>
      </c>
      <c r="J33" s="67" t="n">
        <f aca="true">IF(OR('Conditions d''utilisation'!$C$26="",TODAY()&gt;'Conditions d''utilisation'!$C$26+'Conditions d''utilisation'!$C$27),0,IF(OR($I$9="",9&gt;$I$4,AND($E$10&lt;&gt;"",DATE(YEAR($E$5)+8,12,31)&gt;$E$10)),0,MIN(ROUND($B$20*$I$9,2),MAX($B$20*$I$8-K32,0))))</f>
        <v>0</v>
      </c>
      <c r="K33" s="67" t="n">
        <f aca="true">IF(OR('Conditions d''utilisation'!$C$26="",TODAY()&gt;'Conditions d''utilisation'!$C$26+'Conditions d''utilisation'!$C$27),0,K32+J33)</f>
        <v>0</v>
      </c>
      <c r="L33" s="67" t="n">
        <f aca="true">IF(OR('Conditions d''utilisation'!$C$26="",TODAY()&gt;'Conditions d''utilisation'!$C$26+'Conditions d''utilisation'!$C$27),0,IF(AND(B33="",J33=0),"",N(F33)-J33))</f>
        <v>0</v>
      </c>
      <c r="M33" s="68" t="n">
        <f aca="true">IF(OR('Conditions d''utilisation'!$C$26="",TODAY()&gt;'Conditions d''utilisation'!$C$26+'Conditions d''utilisation'!$C$27),0,IF(L33="","",IF(L33&gt;0,"Réintégration de "&amp;TEXT(L33,"#,##0.00")&amp;" €",IF(L33&lt;0,"Déduction de "&amp;TEXT(-L33,"#,##0.00")&amp;" €","Aucun écart"))))</f>
        <v>0</v>
      </c>
    </row>
    <row r="34" customFormat="false" ht="15" hidden="false" customHeight="true" outlineLevel="0" collapsed="false">
      <c r="A34" s="63" t="s">
        <v>159</v>
      </c>
      <c r="B34" s="64" t="n">
        <f aca="true">IF(OR('Conditions d''utilisation'!$C$26="",TODAY()&gt;'Conditions d''utilisation'!$C$26+'Conditions d''utilisation'!$C$27),0,IF(C34="","",DATE(YEAR(B33)+1,12,31)))</f>
        <v>0</v>
      </c>
      <c r="C34" s="65"/>
      <c r="D34" s="60" t="n">
        <f aca="true">IF(OR('Conditions d''utilisation'!$C$26="",TODAY()&gt;'Conditions d''utilisation'!$C$26+'Conditions d''utilisation'!$C$27),0,IF(C34="","",$B$20))</f>
        <v>0</v>
      </c>
      <c r="E34" s="66" t="n">
        <f aca="true">IF(OR('Conditions d''utilisation'!$C$26="",TODAY()&gt;'Conditions d''utilisation'!$C$26+'Conditions d''utilisation'!$C$27),0,IF(C34="","",$E$8))</f>
        <v>0</v>
      </c>
      <c r="F34" s="60" t="n">
        <f aca="true">IF(OR('Conditions d''utilisation'!$C$26="",TODAY()&gt;'Conditions d''utilisation'!$C$26+'Conditions d''utilisation'!$C$27),0,IF(AND($E$10&lt;&gt;"",B34&lt;&gt;"",B34&gt;$E$10),0,IF(OR(C34="",H33="",H33&lt;=0),"",MIN(ROUND(C34*$E$8,2),H33))))</f>
        <v>0</v>
      </c>
      <c r="G34" s="60" t="n">
        <f aca="true">IF(OR('Conditions d''utilisation'!$C$26="",TODAY()&gt;'Conditions d''utilisation'!$C$26+'Conditions d''utilisation'!$C$27),0,IF(F34="","",G33+F34))</f>
        <v>0</v>
      </c>
      <c r="H34" s="60" t="n">
        <f aca="true">IF(OR('Conditions d''utilisation'!$C$26="",TODAY()&gt;'Conditions d''utilisation'!$C$26+'Conditions d''utilisation'!$C$27),0,IF(F34="","",$B$20-G34))</f>
        <v>0</v>
      </c>
      <c r="J34" s="67" t="n">
        <f aca="true">IF(OR('Conditions d''utilisation'!$C$26="",TODAY()&gt;'Conditions d''utilisation'!$C$26+'Conditions d''utilisation'!$C$27),0,IF(OR($I$9="",10&gt;$I$4,AND($E$10&lt;&gt;"",DATE(YEAR($E$5)+9,12,31)&gt;$E$10)),0,MIN(ROUND($B$20*$I$9,2),MAX($B$20*$I$8-K33,0))))</f>
        <v>0</v>
      </c>
      <c r="K34" s="67" t="n">
        <f aca="true">IF(OR('Conditions d''utilisation'!$C$26="",TODAY()&gt;'Conditions d''utilisation'!$C$26+'Conditions d''utilisation'!$C$27),0,K33+J34)</f>
        <v>0</v>
      </c>
      <c r="L34" s="67" t="n">
        <f aca="true">IF(OR('Conditions d''utilisation'!$C$26="",TODAY()&gt;'Conditions d''utilisation'!$C$26+'Conditions d''utilisation'!$C$27),0,IF(AND(B34="",J34=0),"",N(F34)-J34))</f>
        <v>0</v>
      </c>
      <c r="M34" s="68" t="n">
        <f aca="true">IF(OR('Conditions d''utilisation'!$C$26="",TODAY()&gt;'Conditions d''utilisation'!$C$26+'Conditions d''utilisation'!$C$27),0,IF(L34="","",IF(L34&gt;0,"Réintégration de "&amp;TEXT(L34,"#,##0.00")&amp;" €",IF(L34&lt;0,"Déduction de "&amp;TEXT(-L34,"#,##0.00")&amp;" €","Aucun écart"))))</f>
        <v>0</v>
      </c>
    </row>
    <row r="35" customFormat="false" ht="15" hidden="false" customHeight="true" outlineLevel="0" collapsed="false">
      <c r="A35" s="63" t="s">
        <v>160</v>
      </c>
      <c r="B35" s="64" t="n">
        <f aca="true">IF(OR('Conditions d''utilisation'!$C$26="",TODAY()&gt;'Conditions d''utilisation'!$C$26+'Conditions d''utilisation'!$C$27),0,IF(C35="","",DATE(YEAR(B34)+1,12,31)))</f>
        <v>0</v>
      </c>
      <c r="C35" s="65"/>
      <c r="D35" s="60" t="n">
        <f aca="true">IF(OR('Conditions d''utilisation'!$C$26="",TODAY()&gt;'Conditions d''utilisation'!$C$26+'Conditions d''utilisation'!$C$27),0,IF(C35="","",$B$20))</f>
        <v>0</v>
      </c>
      <c r="E35" s="66" t="n">
        <f aca="true">IF(OR('Conditions d''utilisation'!$C$26="",TODAY()&gt;'Conditions d''utilisation'!$C$26+'Conditions d''utilisation'!$C$27),0,IF(C35="","",$E$8))</f>
        <v>0</v>
      </c>
      <c r="F35" s="60" t="n">
        <f aca="true">IF(OR('Conditions d''utilisation'!$C$26="",TODAY()&gt;'Conditions d''utilisation'!$C$26+'Conditions d''utilisation'!$C$27),0,IF(AND($E$10&lt;&gt;"",B35&lt;&gt;"",B35&gt;$E$10),0,IF(OR(C35="",H34="",H34&lt;=0),"",MIN(ROUND(C35*$E$8,2),H34))))</f>
        <v>0</v>
      </c>
      <c r="G35" s="60" t="n">
        <f aca="true">IF(OR('Conditions d''utilisation'!$C$26="",TODAY()&gt;'Conditions d''utilisation'!$C$26+'Conditions d''utilisation'!$C$27),0,IF(F35="","",G34+F35))</f>
        <v>0</v>
      </c>
      <c r="H35" s="60" t="n">
        <f aca="true">IF(OR('Conditions d''utilisation'!$C$26="",TODAY()&gt;'Conditions d''utilisation'!$C$26+'Conditions d''utilisation'!$C$27),0,IF(F35="","",$B$20-G35))</f>
        <v>0</v>
      </c>
      <c r="J35" s="67" t="n">
        <f aca="true">IF(OR('Conditions d''utilisation'!$C$26="",TODAY()&gt;'Conditions d''utilisation'!$C$26+'Conditions d''utilisation'!$C$27),0,IF(OR($I$9="",11&gt;$I$4,AND($E$10&lt;&gt;"",DATE(YEAR($E$5)+10,12,31)&gt;$E$10)),0,MIN(ROUND($B$20*$I$9,2),MAX($B$20*$I$8-K34,0))))</f>
        <v>0</v>
      </c>
      <c r="K35" s="67" t="n">
        <f aca="true">IF(OR('Conditions d''utilisation'!$C$26="",TODAY()&gt;'Conditions d''utilisation'!$C$26+'Conditions d''utilisation'!$C$27),0,K34+J35)</f>
        <v>0</v>
      </c>
      <c r="L35" s="67" t="n">
        <f aca="true">IF(OR('Conditions d''utilisation'!$C$26="",TODAY()&gt;'Conditions d''utilisation'!$C$26+'Conditions d''utilisation'!$C$27),0,IF(AND(B35="",J35=0),"",N(F35)-J35))</f>
        <v>0</v>
      </c>
      <c r="M35" s="68" t="n">
        <f aca="true">IF(OR('Conditions d''utilisation'!$C$26="",TODAY()&gt;'Conditions d''utilisation'!$C$26+'Conditions d''utilisation'!$C$27),0,IF(L35="","",IF(L35&gt;0,"Réintégration de "&amp;TEXT(L35,"#,##0.00")&amp;" €",IF(L35&lt;0,"Déduction de "&amp;TEXT(-L35,"#,##0.00")&amp;" €","Aucun écart"))))</f>
        <v>0</v>
      </c>
    </row>
    <row r="36" customFormat="false" ht="15" hidden="false" customHeight="true" outlineLevel="0" collapsed="false">
      <c r="A36" s="63" t="s">
        <v>161</v>
      </c>
      <c r="B36" s="64" t="n">
        <f aca="true">IF(OR('Conditions d''utilisation'!$C$26="",TODAY()&gt;'Conditions d''utilisation'!$C$26+'Conditions d''utilisation'!$C$27),0,IF(C36="","",DATE(YEAR(B35)+1,12,31)))</f>
        <v>0</v>
      </c>
      <c r="C36" s="65"/>
      <c r="D36" s="60" t="n">
        <f aca="true">IF(OR('Conditions d''utilisation'!$C$26="",TODAY()&gt;'Conditions d''utilisation'!$C$26+'Conditions d''utilisation'!$C$27),0,IF(C36="","",$B$20))</f>
        <v>0</v>
      </c>
      <c r="E36" s="66" t="n">
        <f aca="true">IF(OR('Conditions d''utilisation'!$C$26="",TODAY()&gt;'Conditions d''utilisation'!$C$26+'Conditions d''utilisation'!$C$27),0,IF(C36="","",$E$8))</f>
        <v>0</v>
      </c>
      <c r="F36" s="60" t="n">
        <f aca="true">IF(OR('Conditions d''utilisation'!$C$26="",TODAY()&gt;'Conditions d''utilisation'!$C$26+'Conditions d''utilisation'!$C$27),0,IF(AND($E$10&lt;&gt;"",B36&lt;&gt;"",B36&gt;$E$10),0,IF(OR(C36="",H35="",H35&lt;=0),"",MIN(ROUND(C36*$E$8,2),H35))))</f>
        <v>0</v>
      </c>
      <c r="G36" s="60" t="n">
        <f aca="true">IF(OR('Conditions d''utilisation'!$C$26="",TODAY()&gt;'Conditions d''utilisation'!$C$26+'Conditions d''utilisation'!$C$27),0,IF(F36="","",G35+F36))</f>
        <v>0</v>
      </c>
      <c r="H36" s="60" t="n">
        <f aca="true">IF(OR('Conditions d''utilisation'!$C$26="",TODAY()&gt;'Conditions d''utilisation'!$C$26+'Conditions d''utilisation'!$C$27),0,IF(F36="","",$B$20-G36))</f>
        <v>0</v>
      </c>
      <c r="J36" s="67" t="n">
        <f aca="true">IF(OR('Conditions d''utilisation'!$C$26="",TODAY()&gt;'Conditions d''utilisation'!$C$26+'Conditions d''utilisation'!$C$27),0,IF(OR($I$9="",12&gt;$I$4,AND($E$10&lt;&gt;"",DATE(YEAR($E$5)+11,12,31)&gt;$E$10)),0,MIN(ROUND($B$20*$I$9,2),MAX($B$20*$I$8-K35,0))))</f>
        <v>0</v>
      </c>
      <c r="K36" s="67" t="n">
        <f aca="true">IF(OR('Conditions d''utilisation'!$C$26="",TODAY()&gt;'Conditions d''utilisation'!$C$26+'Conditions d''utilisation'!$C$27),0,K35+J36)</f>
        <v>0</v>
      </c>
      <c r="L36" s="67" t="n">
        <f aca="true">IF(OR('Conditions d''utilisation'!$C$26="",TODAY()&gt;'Conditions d''utilisation'!$C$26+'Conditions d''utilisation'!$C$27),0,IF(AND(B36="",J36=0),"",N(F36)-J36))</f>
        <v>0</v>
      </c>
      <c r="M36" s="68" t="n">
        <f aca="true">IF(OR('Conditions d''utilisation'!$C$26="",TODAY()&gt;'Conditions d''utilisation'!$C$26+'Conditions d''utilisation'!$C$27),0,IF(L36="","",IF(L36&gt;0,"Réintégration de "&amp;TEXT(L36,"#,##0.00")&amp;" €",IF(L36&lt;0,"Déduction de "&amp;TEXT(-L36,"#,##0.00")&amp;" €","Aucun écart"))))</f>
        <v>0</v>
      </c>
    </row>
    <row r="37" customFormat="false" ht="15" hidden="false" customHeight="true" outlineLevel="0" collapsed="false">
      <c r="A37" s="63" t="s">
        <v>162</v>
      </c>
      <c r="B37" s="64" t="n">
        <f aca="true">IF(OR('Conditions d''utilisation'!$C$26="",TODAY()&gt;'Conditions d''utilisation'!$C$26+'Conditions d''utilisation'!$C$27),0,IF(C37="","",DATE(YEAR(B36)+1,12,31)))</f>
        <v>0</v>
      </c>
      <c r="C37" s="65"/>
      <c r="D37" s="60" t="n">
        <f aca="true">IF(OR('Conditions d''utilisation'!$C$26="",TODAY()&gt;'Conditions d''utilisation'!$C$26+'Conditions d''utilisation'!$C$27),0,IF(C37="","",$B$20))</f>
        <v>0</v>
      </c>
      <c r="E37" s="66" t="n">
        <f aca="true">IF(OR('Conditions d''utilisation'!$C$26="",TODAY()&gt;'Conditions d''utilisation'!$C$26+'Conditions d''utilisation'!$C$27),0,IF(C37="","",$E$8))</f>
        <v>0</v>
      </c>
      <c r="F37" s="60" t="n">
        <f aca="true">IF(OR('Conditions d''utilisation'!$C$26="",TODAY()&gt;'Conditions d''utilisation'!$C$26+'Conditions d''utilisation'!$C$27),0,IF(AND($E$10&lt;&gt;"",B37&lt;&gt;"",B37&gt;$E$10),0,IF(OR(C37="",H36="",H36&lt;=0),"",MIN(ROUND(C37*$E$8,2),H36))))</f>
        <v>0</v>
      </c>
      <c r="G37" s="60" t="n">
        <f aca="true">IF(OR('Conditions d''utilisation'!$C$26="",TODAY()&gt;'Conditions d''utilisation'!$C$26+'Conditions d''utilisation'!$C$27),0,IF(F37="","",G36+F37))</f>
        <v>0</v>
      </c>
      <c r="H37" s="60" t="n">
        <f aca="true">IF(OR('Conditions d''utilisation'!$C$26="",TODAY()&gt;'Conditions d''utilisation'!$C$26+'Conditions d''utilisation'!$C$27),0,IF(F37="","",$B$20-G37))</f>
        <v>0</v>
      </c>
      <c r="J37" s="67" t="n">
        <f aca="true">IF(OR('Conditions d''utilisation'!$C$26="",TODAY()&gt;'Conditions d''utilisation'!$C$26+'Conditions d''utilisation'!$C$27),0,IF(OR($I$9="",13&gt;$I$4,AND($E$10&lt;&gt;"",DATE(YEAR($E$5)+12,12,31)&gt;$E$10)),0,MIN(ROUND($B$20*$I$9,2),MAX($B$20*$I$8-K36,0))))</f>
        <v>0</v>
      </c>
      <c r="K37" s="67" t="n">
        <f aca="true">IF(OR('Conditions d''utilisation'!$C$26="",TODAY()&gt;'Conditions d''utilisation'!$C$26+'Conditions d''utilisation'!$C$27),0,K36+J37)</f>
        <v>0</v>
      </c>
      <c r="L37" s="67" t="n">
        <f aca="true">IF(OR('Conditions d''utilisation'!$C$26="",TODAY()&gt;'Conditions d''utilisation'!$C$26+'Conditions d''utilisation'!$C$27),0,IF(AND(B37="",J37=0),"",N(F37)-J37))</f>
        <v>0</v>
      </c>
      <c r="M37" s="68" t="n">
        <f aca="true">IF(OR('Conditions d''utilisation'!$C$26="",TODAY()&gt;'Conditions d''utilisation'!$C$26+'Conditions d''utilisation'!$C$27),0,IF(L37="","",IF(L37&gt;0,"Réintégration de "&amp;TEXT(L37,"#,##0.00")&amp;" €",IF(L37&lt;0,"Déduction de "&amp;TEXT(-L37,"#,##0.00")&amp;" €","Aucun écart"))))</f>
        <v>0</v>
      </c>
    </row>
    <row r="38" customFormat="false" ht="15" hidden="false" customHeight="true" outlineLevel="0" collapsed="false">
      <c r="A38" s="63" t="s">
        <v>163</v>
      </c>
      <c r="B38" s="64" t="n">
        <f aca="true">IF(OR('Conditions d''utilisation'!$C$26="",TODAY()&gt;'Conditions d''utilisation'!$C$26+'Conditions d''utilisation'!$C$27),0,IF(C38="","",DATE(YEAR(B37)+1,12,31)))</f>
        <v>0</v>
      </c>
      <c r="C38" s="65"/>
      <c r="D38" s="60" t="n">
        <f aca="true">IF(OR('Conditions d''utilisation'!$C$26="",TODAY()&gt;'Conditions d''utilisation'!$C$26+'Conditions d''utilisation'!$C$27),0,IF(C38="","",$B$20))</f>
        <v>0</v>
      </c>
      <c r="E38" s="66" t="n">
        <f aca="true">IF(OR('Conditions d''utilisation'!$C$26="",TODAY()&gt;'Conditions d''utilisation'!$C$26+'Conditions d''utilisation'!$C$27),0,IF(C38="","",$E$8))</f>
        <v>0</v>
      </c>
      <c r="F38" s="60" t="n">
        <f aca="true">IF(OR('Conditions d''utilisation'!$C$26="",TODAY()&gt;'Conditions d''utilisation'!$C$26+'Conditions d''utilisation'!$C$27),0,IF(AND($E$10&lt;&gt;"",B38&lt;&gt;"",B38&gt;$E$10),0,IF(OR(C38="",H37="",H37&lt;=0),"",MIN(ROUND(C38*$E$8,2),H37))))</f>
        <v>0</v>
      </c>
      <c r="G38" s="60" t="n">
        <f aca="true">IF(OR('Conditions d''utilisation'!$C$26="",TODAY()&gt;'Conditions d''utilisation'!$C$26+'Conditions d''utilisation'!$C$27),0,IF(F38="","",G37+F38))</f>
        <v>0</v>
      </c>
      <c r="H38" s="60" t="n">
        <f aca="true">IF(OR('Conditions d''utilisation'!$C$26="",TODAY()&gt;'Conditions d''utilisation'!$C$26+'Conditions d''utilisation'!$C$27),0,IF(F38="","",$B$20-G38))</f>
        <v>0</v>
      </c>
      <c r="J38" s="67" t="n">
        <f aca="true">IF(OR('Conditions d''utilisation'!$C$26="",TODAY()&gt;'Conditions d''utilisation'!$C$26+'Conditions d''utilisation'!$C$27),0,IF(OR($I$9="",14&gt;$I$4,AND($E$10&lt;&gt;"",DATE(YEAR($E$5)+13,12,31)&gt;$E$10)),0,MIN(ROUND($B$20*$I$9,2),MAX($B$20*$I$8-K37,0))))</f>
        <v>0</v>
      </c>
      <c r="K38" s="67" t="n">
        <f aca="true">IF(OR('Conditions d''utilisation'!$C$26="",TODAY()&gt;'Conditions d''utilisation'!$C$26+'Conditions d''utilisation'!$C$27),0,K37+J38)</f>
        <v>0</v>
      </c>
      <c r="L38" s="67" t="n">
        <f aca="true">IF(OR('Conditions d''utilisation'!$C$26="",TODAY()&gt;'Conditions d''utilisation'!$C$26+'Conditions d''utilisation'!$C$27),0,IF(AND(B38="",J38=0),"",N(F38)-J38))</f>
        <v>0</v>
      </c>
      <c r="M38" s="68" t="n">
        <f aca="true">IF(OR('Conditions d''utilisation'!$C$26="",TODAY()&gt;'Conditions d''utilisation'!$C$26+'Conditions d''utilisation'!$C$27),0,IF(L38="","",IF(L38&gt;0,"Réintégration de "&amp;TEXT(L38,"#,##0.00")&amp;" €",IF(L38&lt;0,"Déduction de "&amp;TEXT(-L38,"#,##0.00")&amp;" €","Aucun écart"))))</f>
        <v>0</v>
      </c>
    </row>
    <row r="39" customFormat="false" ht="15" hidden="false" customHeight="true" outlineLevel="0" collapsed="false">
      <c r="A39" s="63" t="s">
        <v>164</v>
      </c>
      <c r="B39" s="64" t="n">
        <f aca="true">IF(OR('Conditions d''utilisation'!$C$26="",TODAY()&gt;'Conditions d''utilisation'!$C$26+'Conditions d''utilisation'!$C$27),0,IF(C39="","",DATE(YEAR(B38)+1,12,31)))</f>
        <v>0</v>
      </c>
      <c r="C39" s="65"/>
      <c r="D39" s="60" t="n">
        <f aca="true">IF(OR('Conditions d''utilisation'!$C$26="",TODAY()&gt;'Conditions d''utilisation'!$C$26+'Conditions d''utilisation'!$C$27),0,IF(C39="","",$B$20))</f>
        <v>0</v>
      </c>
      <c r="E39" s="66" t="n">
        <f aca="true">IF(OR('Conditions d''utilisation'!$C$26="",TODAY()&gt;'Conditions d''utilisation'!$C$26+'Conditions d''utilisation'!$C$27),0,IF(C39="","",$E$8))</f>
        <v>0</v>
      </c>
      <c r="F39" s="60" t="n">
        <f aca="true">IF(OR('Conditions d''utilisation'!$C$26="",TODAY()&gt;'Conditions d''utilisation'!$C$26+'Conditions d''utilisation'!$C$27),0,IF(AND($E$10&lt;&gt;"",B39&lt;&gt;"",B39&gt;$E$10),0,IF(OR(C39="",H38="",H38&lt;=0),"",MIN(ROUND(C39*$E$8,2),H38))))</f>
        <v>0</v>
      </c>
      <c r="G39" s="60" t="n">
        <f aca="true">IF(OR('Conditions d''utilisation'!$C$26="",TODAY()&gt;'Conditions d''utilisation'!$C$26+'Conditions d''utilisation'!$C$27),0,IF(F39="","",G38+F39))</f>
        <v>0</v>
      </c>
      <c r="H39" s="60" t="n">
        <f aca="true">IF(OR('Conditions d''utilisation'!$C$26="",TODAY()&gt;'Conditions d''utilisation'!$C$26+'Conditions d''utilisation'!$C$27),0,IF(F39="","",$B$20-G39))</f>
        <v>0</v>
      </c>
      <c r="J39" s="67" t="n">
        <f aca="true">IF(OR('Conditions d''utilisation'!$C$26="",TODAY()&gt;'Conditions d''utilisation'!$C$26+'Conditions d''utilisation'!$C$27),0,IF(OR($I$9="",15&gt;$I$4,AND($E$10&lt;&gt;"",DATE(YEAR($E$5)+14,12,31)&gt;$E$10)),0,MIN(ROUND($B$20*$I$9,2),MAX($B$20*$I$8-K38,0))))</f>
        <v>0</v>
      </c>
      <c r="K39" s="67" t="n">
        <f aca="true">IF(OR('Conditions d''utilisation'!$C$26="",TODAY()&gt;'Conditions d''utilisation'!$C$26+'Conditions d''utilisation'!$C$27),0,K38+J39)</f>
        <v>0</v>
      </c>
      <c r="L39" s="67" t="n">
        <f aca="true">IF(OR('Conditions d''utilisation'!$C$26="",TODAY()&gt;'Conditions d''utilisation'!$C$26+'Conditions d''utilisation'!$C$27),0,IF(AND(B39="",J39=0),"",N(F39)-J39))</f>
        <v>0</v>
      </c>
      <c r="M39" s="68" t="n">
        <f aca="true">IF(OR('Conditions d''utilisation'!$C$26="",TODAY()&gt;'Conditions d''utilisation'!$C$26+'Conditions d''utilisation'!$C$27),0,IF(L39="","",IF(L39&gt;0,"Réintégration de "&amp;TEXT(L39,"#,##0.00")&amp;" €",IF(L39&lt;0,"Déduction de "&amp;TEXT(-L39,"#,##0.00")&amp;" €","Aucun écart"))))</f>
        <v>0</v>
      </c>
    </row>
    <row r="40" customFormat="false" ht="15" hidden="false" customHeight="true" outlineLevel="0" collapsed="false">
      <c r="A40" s="63" t="s">
        <v>165</v>
      </c>
      <c r="B40" s="64" t="n">
        <f aca="true">IF(OR('Conditions d''utilisation'!$C$26="",TODAY()&gt;'Conditions d''utilisation'!$C$26+'Conditions d''utilisation'!$C$27),0,IF(C40="","",DATE(YEAR(B39)+1,12,31)))</f>
        <v>0</v>
      </c>
      <c r="C40" s="65"/>
      <c r="D40" s="60" t="n">
        <f aca="true">IF(OR('Conditions d''utilisation'!$C$26="",TODAY()&gt;'Conditions d''utilisation'!$C$26+'Conditions d''utilisation'!$C$27),0,IF(C40="","",$B$20))</f>
        <v>0</v>
      </c>
      <c r="E40" s="66" t="n">
        <f aca="true">IF(OR('Conditions d''utilisation'!$C$26="",TODAY()&gt;'Conditions d''utilisation'!$C$26+'Conditions d''utilisation'!$C$27),0,IF(C40="","",$E$8))</f>
        <v>0</v>
      </c>
      <c r="F40" s="60" t="n">
        <f aca="true">IF(OR('Conditions d''utilisation'!$C$26="",TODAY()&gt;'Conditions d''utilisation'!$C$26+'Conditions d''utilisation'!$C$27),0,IF(AND($E$10&lt;&gt;"",B40&lt;&gt;"",B40&gt;$E$10),0,IF(OR(C40="",H39="",H39&lt;=0),"",MIN(ROUND(C40*$E$8,2),H39))))</f>
        <v>0</v>
      </c>
      <c r="G40" s="60" t="n">
        <f aca="true">IF(OR('Conditions d''utilisation'!$C$26="",TODAY()&gt;'Conditions d''utilisation'!$C$26+'Conditions d''utilisation'!$C$27),0,IF(F40="","",G39+F40))</f>
        <v>0</v>
      </c>
      <c r="H40" s="60" t="n">
        <f aca="true">IF(OR('Conditions d''utilisation'!$C$26="",TODAY()&gt;'Conditions d''utilisation'!$C$26+'Conditions d''utilisation'!$C$27),0,IF(F40="","",$B$20-G40))</f>
        <v>0</v>
      </c>
      <c r="J40" s="67" t="n">
        <f aca="true">IF(OR('Conditions d''utilisation'!$C$26="",TODAY()&gt;'Conditions d''utilisation'!$C$26+'Conditions d''utilisation'!$C$27),0,IF(OR($I$9="",16&gt;$I$4,AND($E$10&lt;&gt;"",DATE(YEAR($E$5)+15,12,31)&gt;$E$10)),0,MIN(ROUND($B$20*$I$9,2),MAX($B$20*$I$8-K39,0))))</f>
        <v>0</v>
      </c>
      <c r="K40" s="67" t="n">
        <f aca="true">IF(OR('Conditions d''utilisation'!$C$26="",TODAY()&gt;'Conditions d''utilisation'!$C$26+'Conditions d''utilisation'!$C$27),0,K39+J40)</f>
        <v>0</v>
      </c>
      <c r="L40" s="67" t="n">
        <f aca="true">IF(OR('Conditions d''utilisation'!$C$26="",TODAY()&gt;'Conditions d''utilisation'!$C$26+'Conditions d''utilisation'!$C$27),0,IF(AND(B40="",J40=0),"",N(F40)-J40))</f>
        <v>0</v>
      </c>
      <c r="M40" s="68" t="n">
        <f aca="true">IF(OR('Conditions d''utilisation'!$C$26="",TODAY()&gt;'Conditions d''utilisation'!$C$26+'Conditions d''utilisation'!$C$27),0,IF(L40="","",IF(L40&gt;0,"Réintégration de "&amp;TEXT(L40,"#,##0.00")&amp;" €",IF(L40&lt;0,"Déduction de "&amp;TEXT(-L40,"#,##0.00")&amp;" €","Aucun écart"))))</f>
        <v>0</v>
      </c>
    </row>
    <row r="41" customFormat="false" ht="15" hidden="false" customHeight="true" outlineLevel="0" collapsed="false">
      <c r="A41" s="63" t="s">
        <v>166</v>
      </c>
      <c r="B41" s="64" t="n">
        <f aca="true">IF(OR('Conditions d''utilisation'!$C$26="",TODAY()&gt;'Conditions d''utilisation'!$C$26+'Conditions d''utilisation'!$C$27),0,IF(C41="","",DATE(YEAR(B40)+1,12,31)))</f>
        <v>0</v>
      </c>
      <c r="C41" s="65"/>
      <c r="D41" s="60" t="n">
        <f aca="true">IF(OR('Conditions d''utilisation'!$C$26="",TODAY()&gt;'Conditions d''utilisation'!$C$26+'Conditions d''utilisation'!$C$27),0,IF(C41="","",$B$20))</f>
        <v>0</v>
      </c>
      <c r="E41" s="66" t="n">
        <f aca="true">IF(OR('Conditions d''utilisation'!$C$26="",TODAY()&gt;'Conditions d''utilisation'!$C$26+'Conditions d''utilisation'!$C$27),0,IF(C41="","",$E$8))</f>
        <v>0</v>
      </c>
      <c r="F41" s="60" t="n">
        <f aca="true">IF(OR('Conditions d''utilisation'!$C$26="",TODAY()&gt;'Conditions d''utilisation'!$C$26+'Conditions d''utilisation'!$C$27),0,IF(AND($E$10&lt;&gt;"",B41&lt;&gt;"",B41&gt;$E$10),0,IF(OR(C41="",H40="",H40&lt;=0),"",MIN(ROUND(C41*$E$8,2),H40))))</f>
        <v>0</v>
      </c>
      <c r="G41" s="60" t="n">
        <f aca="true">IF(OR('Conditions d''utilisation'!$C$26="",TODAY()&gt;'Conditions d''utilisation'!$C$26+'Conditions d''utilisation'!$C$27),0,IF(F41="","",G40+F41))</f>
        <v>0</v>
      </c>
      <c r="H41" s="60" t="n">
        <f aca="true">IF(OR('Conditions d''utilisation'!$C$26="",TODAY()&gt;'Conditions d''utilisation'!$C$26+'Conditions d''utilisation'!$C$27),0,IF(F41="","",$B$20-G41))</f>
        <v>0</v>
      </c>
      <c r="J41" s="67" t="n">
        <f aca="true">IF(OR('Conditions d''utilisation'!$C$26="",TODAY()&gt;'Conditions d''utilisation'!$C$26+'Conditions d''utilisation'!$C$27),0,IF(OR($I$9="",17&gt;$I$4,AND($E$10&lt;&gt;"",DATE(YEAR($E$5)+16,12,31)&gt;$E$10)),0,MIN(ROUND($B$20*$I$9,2),MAX($B$20*$I$8-K40,0))))</f>
        <v>0</v>
      </c>
      <c r="K41" s="67" t="n">
        <f aca="true">IF(OR('Conditions d''utilisation'!$C$26="",TODAY()&gt;'Conditions d''utilisation'!$C$26+'Conditions d''utilisation'!$C$27),0,K40+J41)</f>
        <v>0</v>
      </c>
      <c r="L41" s="67" t="n">
        <f aca="true">IF(OR('Conditions d''utilisation'!$C$26="",TODAY()&gt;'Conditions d''utilisation'!$C$26+'Conditions d''utilisation'!$C$27),0,IF(AND(B41="",J41=0),"",N(F41)-J41))</f>
        <v>0</v>
      </c>
      <c r="M41" s="68" t="n">
        <f aca="true">IF(OR('Conditions d''utilisation'!$C$26="",TODAY()&gt;'Conditions d''utilisation'!$C$26+'Conditions d''utilisation'!$C$27),0,IF(L41="","",IF(L41&gt;0,"Réintégration de "&amp;TEXT(L41,"#,##0.00")&amp;" €",IF(L41&lt;0,"Déduction de "&amp;TEXT(-L41,"#,##0.00")&amp;" €","Aucun écart"))))</f>
        <v>0</v>
      </c>
    </row>
    <row r="42" customFormat="false" ht="15" hidden="false" customHeight="true" outlineLevel="0" collapsed="false">
      <c r="A42" s="63" t="s">
        <v>167</v>
      </c>
      <c r="B42" s="64" t="n">
        <f aca="true">IF(OR('Conditions d''utilisation'!$C$26="",TODAY()&gt;'Conditions d''utilisation'!$C$26+'Conditions d''utilisation'!$C$27),0,IF(C42="","",DATE(YEAR(B41)+1,12,31)))</f>
        <v>0</v>
      </c>
      <c r="C42" s="65"/>
      <c r="D42" s="60" t="n">
        <f aca="true">IF(OR('Conditions d''utilisation'!$C$26="",TODAY()&gt;'Conditions d''utilisation'!$C$26+'Conditions d''utilisation'!$C$27),0,IF(C42="","",$B$20))</f>
        <v>0</v>
      </c>
      <c r="E42" s="66" t="n">
        <f aca="true">IF(OR('Conditions d''utilisation'!$C$26="",TODAY()&gt;'Conditions d''utilisation'!$C$26+'Conditions d''utilisation'!$C$27),0,IF(C42="","",$E$8))</f>
        <v>0</v>
      </c>
      <c r="F42" s="60" t="n">
        <f aca="true">IF(OR('Conditions d''utilisation'!$C$26="",TODAY()&gt;'Conditions d''utilisation'!$C$26+'Conditions d''utilisation'!$C$27),0,IF(AND($E$10&lt;&gt;"",B42&lt;&gt;"",B42&gt;$E$10),0,IF(OR(C42="",H41="",H41&lt;=0),"",MIN(ROUND(C42*$E$8,2),H41))))</f>
        <v>0</v>
      </c>
      <c r="G42" s="60" t="n">
        <f aca="true">IF(OR('Conditions d''utilisation'!$C$26="",TODAY()&gt;'Conditions d''utilisation'!$C$26+'Conditions d''utilisation'!$C$27),0,IF(F42="","",G41+F42))</f>
        <v>0</v>
      </c>
      <c r="H42" s="60" t="n">
        <f aca="true">IF(OR('Conditions d''utilisation'!$C$26="",TODAY()&gt;'Conditions d''utilisation'!$C$26+'Conditions d''utilisation'!$C$27),0,IF(F42="","",$B$20-G42))</f>
        <v>0</v>
      </c>
      <c r="J42" s="67" t="n">
        <f aca="true">IF(OR('Conditions d''utilisation'!$C$26="",TODAY()&gt;'Conditions d''utilisation'!$C$26+'Conditions d''utilisation'!$C$27),0,IF(OR($I$9="",18&gt;$I$4,AND($E$10&lt;&gt;"",DATE(YEAR($E$5)+17,12,31)&gt;$E$10)),0,MIN(ROUND($B$20*$I$9,2),MAX($B$20*$I$8-K41,0))))</f>
        <v>0</v>
      </c>
      <c r="K42" s="67" t="n">
        <f aca="true">IF(OR('Conditions d''utilisation'!$C$26="",TODAY()&gt;'Conditions d''utilisation'!$C$26+'Conditions d''utilisation'!$C$27),0,K41+J42)</f>
        <v>0</v>
      </c>
      <c r="L42" s="67" t="n">
        <f aca="true">IF(OR('Conditions d''utilisation'!$C$26="",TODAY()&gt;'Conditions d''utilisation'!$C$26+'Conditions d''utilisation'!$C$27),0,IF(AND(B42="",J42=0),"",N(F42)-J42))</f>
        <v>0</v>
      </c>
      <c r="M42" s="68" t="n">
        <f aca="true">IF(OR('Conditions d''utilisation'!$C$26="",TODAY()&gt;'Conditions d''utilisation'!$C$26+'Conditions d''utilisation'!$C$27),0,IF(L42="","",IF(L42&gt;0,"Réintégration de "&amp;TEXT(L42,"#,##0.00")&amp;" €",IF(L42&lt;0,"Déduction de "&amp;TEXT(-L42,"#,##0.00")&amp;" €","Aucun écart"))))</f>
        <v>0</v>
      </c>
    </row>
    <row r="43" customFormat="false" ht="15" hidden="false" customHeight="true" outlineLevel="0" collapsed="false">
      <c r="A43" s="63" t="s">
        <v>168</v>
      </c>
      <c r="B43" s="64" t="n">
        <f aca="true">IF(OR('Conditions d''utilisation'!$C$26="",TODAY()&gt;'Conditions d''utilisation'!$C$26+'Conditions d''utilisation'!$C$27),0,IF(C43="","",DATE(YEAR(B42)+1,12,31)))</f>
        <v>0</v>
      </c>
      <c r="C43" s="65"/>
      <c r="D43" s="60" t="n">
        <f aca="true">IF(OR('Conditions d''utilisation'!$C$26="",TODAY()&gt;'Conditions d''utilisation'!$C$26+'Conditions d''utilisation'!$C$27),0,IF(C43="","",$B$20))</f>
        <v>0</v>
      </c>
      <c r="E43" s="66" t="n">
        <f aca="true">IF(OR('Conditions d''utilisation'!$C$26="",TODAY()&gt;'Conditions d''utilisation'!$C$26+'Conditions d''utilisation'!$C$27),0,IF(C43="","",$E$8))</f>
        <v>0</v>
      </c>
      <c r="F43" s="60" t="n">
        <f aca="true">IF(OR('Conditions d''utilisation'!$C$26="",TODAY()&gt;'Conditions d''utilisation'!$C$26+'Conditions d''utilisation'!$C$27),0,IF(AND($E$10&lt;&gt;"",B43&lt;&gt;"",B43&gt;$E$10),0,IF(OR(C43="",H42="",H42&lt;=0),"",MIN(ROUND(C43*$E$8,2),H42))))</f>
        <v>0</v>
      </c>
      <c r="G43" s="60" t="n">
        <f aca="true">IF(OR('Conditions d''utilisation'!$C$26="",TODAY()&gt;'Conditions d''utilisation'!$C$26+'Conditions d''utilisation'!$C$27),0,IF(F43="","",G42+F43))</f>
        <v>0</v>
      </c>
      <c r="H43" s="60" t="n">
        <f aca="true">IF(OR('Conditions d''utilisation'!$C$26="",TODAY()&gt;'Conditions d''utilisation'!$C$26+'Conditions d''utilisation'!$C$27),0,IF(F43="","",$B$20-G43))</f>
        <v>0</v>
      </c>
      <c r="J43" s="67" t="n">
        <f aca="true">IF(OR('Conditions d''utilisation'!$C$26="",TODAY()&gt;'Conditions d''utilisation'!$C$26+'Conditions d''utilisation'!$C$27),0,IF(OR($I$9="",19&gt;$I$4,AND($E$10&lt;&gt;"",DATE(YEAR($E$5)+18,12,31)&gt;$E$10)),0,MIN(ROUND($B$20*$I$9,2),MAX($B$20*$I$8-K42,0))))</f>
        <v>0</v>
      </c>
      <c r="K43" s="67" t="n">
        <f aca="true">IF(OR('Conditions d''utilisation'!$C$26="",TODAY()&gt;'Conditions d''utilisation'!$C$26+'Conditions d''utilisation'!$C$27),0,K42+J43)</f>
        <v>0</v>
      </c>
      <c r="L43" s="67" t="n">
        <f aca="true">IF(OR('Conditions d''utilisation'!$C$26="",TODAY()&gt;'Conditions d''utilisation'!$C$26+'Conditions d''utilisation'!$C$27),0,IF(AND(B43="",J43=0),"",N(F43)-J43))</f>
        <v>0</v>
      </c>
      <c r="M43" s="68" t="n">
        <f aca="true">IF(OR('Conditions d''utilisation'!$C$26="",TODAY()&gt;'Conditions d''utilisation'!$C$26+'Conditions d''utilisation'!$C$27),0,IF(L43="","",IF(L43&gt;0,"Réintégration de "&amp;TEXT(L43,"#,##0.00")&amp;" €",IF(L43&lt;0,"Déduction de "&amp;TEXT(-L43,"#,##0.00")&amp;" €","Aucun écart"))))</f>
        <v>0</v>
      </c>
    </row>
    <row r="44" customFormat="false" ht="15" hidden="false" customHeight="true" outlineLevel="0" collapsed="false">
      <c r="A44" s="63" t="s">
        <v>169</v>
      </c>
      <c r="B44" s="64" t="n">
        <f aca="true">IF(OR('Conditions d''utilisation'!$C$26="",TODAY()&gt;'Conditions d''utilisation'!$C$26+'Conditions d''utilisation'!$C$27),0,IF(C44="","",DATE(YEAR(B43)+1,12,31)))</f>
        <v>0</v>
      </c>
      <c r="C44" s="65"/>
      <c r="D44" s="60" t="n">
        <f aca="true">IF(OR('Conditions d''utilisation'!$C$26="",TODAY()&gt;'Conditions d''utilisation'!$C$26+'Conditions d''utilisation'!$C$27),0,IF(C44="","",$B$20))</f>
        <v>0</v>
      </c>
      <c r="E44" s="66" t="n">
        <f aca="true">IF(OR('Conditions d''utilisation'!$C$26="",TODAY()&gt;'Conditions d''utilisation'!$C$26+'Conditions d''utilisation'!$C$27),0,IF(C44="","",$E$8))</f>
        <v>0</v>
      </c>
      <c r="F44" s="60" t="n">
        <f aca="true">IF(OR('Conditions d''utilisation'!$C$26="",TODAY()&gt;'Conditions d''utilisation'!$C$26+'Conditions d''utilisation'!$C$27),0,IF(AND($E$10&lt;&gt;"",B44&lt;&gt;"",B44&gt;$E$10),0,IF(OR(C44="",H43="",H43&lt;=0),"",MIN(ROUND(C44*$E$8,2),H43))))</f>
        <v>0</v>
      </c>
      <c r="G44" s="60" t="n">
        <f aca="true">IF(OR('Conditions d''utilisation'!$C$26="",TODAY()&gt;'Conditions d''utilisation'!$C$26+'Conditions d''utilisation'!$C$27),0,IF(F44="","",G43+F44))</f>
        <v>0</v>
      </c>
      <c r="H44" s="60" t="n">
        <f aca="true">IF(OR('Conditions d''utilisation'!$C$26="",TODAY()&gt;'Conditions d''utilisation'!$C$26+'Conditions d''utilisation'!$C$27),0,IF(F44="","",$B$20-G44))</f>
        <v>0</v>
      </c>
      <c r="J44" s="67" t="n">
        <f aca="true">IF(OR('Conditions d''utilisation'!$C$26="",TODAY()&gt;'Conditions d''utilisation'!$C$26+'Conditions d''utilisation'!$C$27),0,IF(OR($I$9="",20&gt;$I$4,AND($E$10&lt;&gt;"",DATE(YEAR($E$5)+19,12,31)&gt;$E$10)),0,MIN(ROUND($B$20*$I$9,2),MAX($B$20*$I$8-K43,0))))</f>
        <v>0</v>
      </c>
      <c r="K44" s="67" t="n">
        <f aca="true">IF(OR('Conditions d''utilisation'!$C$26="",TODAY()&gt;'Conditions d''utilisation'!$C$26+'Conditions d''utilisation'!$C$27),0,K43+J44)</f>
        <v>0</v>
      </c>
      <c r="L44" s="67" t="n">
        <f aca="true">IF(OR('Conditions d''utilisation'!$C$26="",TODAY()&gt;'Conditions d''utilisation'!$C$26+'Conditions d''utilisation'!$C$27),0,IF(AND(B44="",J44=0),"",N(F44)-J44))</f>
        <v>0</v>
      </c>
      <c r="M44" s="68" t="n">
        <f aca="true">IF(OR('Conditions d''utilisation'!$C$26="",TODAY()&gt;'Conditions d''utilisation'!$C$26+'Conditions d''utilisation'!$C$27),0,IF(L44="","",IF(L44&gt;0,"Réintégration de "&amp;TEXT(L44,"#,##0.00")&amp;" €",IF(L44&lt;0,"Déduction de "&amp;TEXT(-L44,"#,##0.00")&amp;" €","Aucun écart"))))</f>
        <v>0</v>
      </c>
    </row>
    <row r="46" customFormat="false" ht="15" hidden="false" customHeight="true" outlineLevel="0" collapsed="false">
      <c r="A46" s="69" t="s">
        <v>170</v>
      </c>
      <c r="B46" s="69"/>
      <c r="C46" s="69"/>
      <c r="D46" s="70"/>
      <c r="E46" s="70"/>
      <c r="F46" s="58" t="n">
        <f aca="true">IF(OR('Conditions d''utilisation'!$C$26="",TODAY()&gt;'Conditions d''utilisation'!$C$26+'Conditions d''utilisation'!$C$27),0,SUMIF(F25:F44,"&lt;&gt;"))</f>
        <v>0</v>
      </c>
      <c r="G46" s="70"/>
      <c r="H46" s="70"/>
    </row>
    <row r="48" customFormat="false" ht="15" hidden="false" customHeight="true" outlineLevel="0" collapsed="false">
      <c r="A48" s="71" t="s">
        <v>171</v>
      </c>
    </row>
    <row r="49" customFormat="false" ht="15" hidden="false" customHeight="true" outlineLevel="0" collapsed="false">
      <c r="A49" s="72" t="s">
        <v>172</v>
      </c>
    </row>
    <row r="50" customFormat="false" ht="15" hidden="false" customHeight="true" outlineLevel="0" collapsed="false">
      <c r="A50" s="31" t="s">
        <v>173</v>
      </c>
    </row>
    <row r="51" customFormat="false" ht="15" hidden="false" customHeight="true" outlineLevel="0" collapsed="false">
      <c r="A51" s="14" t="s">
        <v>174</v>
      </c>
    </row>
    <row r="52" customFormat="false" ht="15" hidden="false" customHeight="true" outlineLevel="0" collapsed="false">
      <c r="A52" s="73" t="s">
        <v>175</v>
      </c>
    </row>
  </sheetData>
  <sheetProtection sheet="true" formatCells="false" formatColumns="false" formatRows="false" insertRows="false" insertHyperlinks="false" deleteColumns="false" deleteRows="false" sort="false" autoFilter="false" pivotTables="false"/>
  <mergeCells count="8">
    <mergeCell ref="A1:H1"/>
    <mergeCell ref="A2:H2"/>
    <mergeCell ref="A3:B3"/>
    <mergeCell ref="D3:E3"/>
    <mergeCell ref="K3:M3"/>
    <mergeCell ref="K9:M10"/>
    <mergeCell ref="A23:H23"/>
    <mergeCell ref="A46:C46"/>
  </mergeCell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2026-08-21T18:12:13Z</dcterms:created>
  <dc:creator>openpyxl</dc:creator>
  <dc:description/>
  <dc:language>en-US</dc:language>
  <cp:lastModifiedBy/>
  <dcterms:modified xsi:type="dcterms:W3CDTF">2026-09-09T12:58:41Z</dcterms:modified>
  <cp:revision>16</cp:revision>
  <dc:subject/>
  <dc:title/>
</cp:coreProperties>
</file>

<file path=docProps/custom.xml><?xml version="1.0" encoding="utf-8"?>
<Properties xmlns="http://schemas.openxmlformats.org/officeDocument/2006/custom-properties" xmlns:vt="http://schemas.openxmlformats.org/officeDocument/2006/docPropsVTypes"/>
</file>